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QTTePTAtHH+hV23dOpypuMzRQ2CAMvyaiyPgW7o9hJl+WUtVCEr703tmvxu92m/mzqwJjipCnUn1fxpK61NhTA==" workbookSaltValue="YYOpq9/Ecb9pKp0dZLd3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K32" i="20"/>
  <c r="O17" i="11"/>
  <c r="AJ32" i="20"/>
  <c r="G30" i="14"/>
  <c r="G23" i="14"/>
  <c r="U18" i="11"/>
  <c r="AX32" i="20"/>
  <c r="Y32" i="20"/>
  <c r="L32" i="20"/>
  <c r="AG32" i="20"/>
  <c r="H32" i="20"/>
  <c r="T32" i="21"/>
  <c r="AF32" i="20"/>
  <c r="S32" i="20"/>
  <c r="AQ32" i="21"/>
  <c r="E23" i="12" l="1"/>
  <c r="BF17" i="8"/>
  <c r="K30" i="2"/>
  <c r="AL21" i="11"/>
  <c r="L17" i="14"/>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<sst xmlns="http://schemas.openxmlformats.org/spreadsheetml/2006/main" count="2682" uniqueCount="1193">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</sst>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QDdiIH7MFqBLyL79XuuIPGSzoIm1xV2+K+kLW3aBnrjJz2CYz8Q2Gp2/MABQRt0imH+tFEFID1xm72Unu6g==" saltValue="Bgij2y6gO9BGz5ileQhT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4</v>
      </c>
      <c r="F10" s="240">
        <f>IF(ISNUMBER(Datos!K10),Datos!K10," - ")</f>
        <v>6</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9.1666666666666679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27.135888501742162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4</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464</v>
      </c>
      <c r="D17" s="239">
        <f>IF(ISNUMBER(IF(D_I="SI",Datos!I17,Datos!I17+Datos!AC17)),IF(D_I="SI",Datos!I17,Datos!I17+Datos!AC17)," - ")</f>
        <v>421</v>
      </c>
      <c r="E17" s="240">
        <f>IF(ISNUMBER(IF(D_I="SI",Datos!J17,Datos!J17+Datos!AD17)),IF(D_I="SI",Datos!J17,Datos!J17+Datos!AD17)," - ")</f>
        <v>504</v>
      </c>
      <c r="F17" s="240">
        <f>IF(ISNUMBER(IF(D_I="SI",Datos!K17,Datos!K17+Datos!AE17)),IF(D_I="SI",Datos!K17,Datos!K17+Datos!AE17)," - ")</f>
        <v>372</v>
      </c>
      <c r="G17" s="1390" t="str">
        <f>IF(Datos!E17&lt;&gt;"",Datos!E17,Datos!D17)</f>
        <v>04</v>
      </c>
      <c r="H17" s="241">
        <f>IF(ISNUMBER(IF(D_I="SI",Datos!L17,Datos!L17+Datos!AF17)),IF(D_I="SI",Datos!L17,Datos!L17+Datos!AF17)," - ")</f>
        <v>596</v>
      </c>
      <c r="I17" s="1400" t="str">
        <f>IF(ISNUMBER(Datos!AS17/Datos!BM17),Datos!AS17/Datos!BM17," - ")</f>
        <v xml:space="preserve"> - </v>
      </c>
      <c r="J17" s="1401">
        <f>IF(ISNUMBER(Datos!BY17/Datos!CN17),Datos!BY17/Datos!CN17," - ")</f>
        <v>0</v>
      </c>
      <c r="K17" s="244">
        <f t="shared" si="3"/>
        <v>0.28448275862068967</v>
      </c>
      <c r="L17" s="1402">
        <f>IF(ISNUMBER(NºAsuntos!I17/NºAsuntos!G17),(NºAsuntos!I17/NºAsuntos!G17)*11," - ")</f>
        <v>17.623655913978492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90</v>
      </c>
      <c r="E18" s="240">
        <f>IF(ISNUMBER(IF(D_I="SI",Datos!J18,Datos!J18+Datos!AD18)),IF(D_I="SI",Datos!J18,Datos!J18+Datos!AD18)," - ")</f>
        <v>33</v>
      </c>
      <c r="F18" s="240">
        <f>IF(ISNUMBER(IF(D_I="SI",Datos!K18,Datos!K18+Datos!AE18)),IF(D_I="SI",Datos!K18,Datos!K18+Datos!AE18)," - ")</f>
        <v>19</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0.51851851851851849</v>
      </c>
      <c r="L18" s="1402">
        <f>IF(ISNUMBER(NºAsuntos!I18/NºAsuntos!G18),(NºAsuntos!I18/NºAsuntos!G18)*11," - ")</f>
        <v>23.736842105263158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491</v>
      </c>
      <c r="D23" s="1407">
        <f>SUBTOTAL(9,D16:D22)</f>
        <v>511</v>
      </c>
      <c r="E23" s="1408">
        <f>SUBTOTAL(9,E16:E22)</f>
        <v>537</v>
      </c>
      <c r="F23" s="1408">
        <f>SUBTOTAL(9,F16:F22)</f>
        <v>391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498</v>
      </c>
      <c r="D31" s="1435">
        <f>SUBTOTAL(9,D9:D30)</f>
        <v>518</v>
      </c>
      <c r="E31" s="1436">
        <f>SUBTOTAL(9,E9:E30)</f>
        <v>541</v>
      </c>
      <c r="F31" s="1436">
        <f>SUBTOTAL(9,F9:F30)</f>
        <v>397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nv26GSdRU8nz0mapVS/hPLVlMRa56UbQEuWfu0XkYS/oUtnEElu1yXIYhfdWArrk/AD8eI3LRALbhv5bBVJyw==" saltValue="ZtdSzSNORTttr2LQpFY4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mQgolHxgLXjXIVjd7a3/nN6JHp0GwyL2NFtxfIPuX8AZeHoTjlJ/gahl4kXSoQz/RoQUkY1k5/Sd7yiL+XsZA==" saltValue="oI48I5assEu80BGvA3aO3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4</v>
      </c>
      <c r="K10" s="194">
        <v>6</v>
      </c>
      <c r="L10" s="194">
        <v>5</v>
      </c>
      <c r="M10" s="194">
        <v>3</v>
      </c>
      <c r="N10" s="194">
        <v>3</v>
      </c>
      <c r="O10" s="194">
        <v>1</v>
      </c>
      <c r="P10" s="194">
        <v>0</v>
      </c>
      <c r="Q10" s="194">
        <v>1</v>
      </c>
      <c r="R10" s="194">
        <v>13</v>
      </c>
      <c r="S10" s="194">
        <v>3</v>
      </c>
      <c r="T10" s="194">
        <v>6</v>
      </c>
      <c r="U10" s="194">
        <v>2</v>
      </c>
      <c r="V10" s="194">
        <v>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6</v>
      </c>
      <c r="BA10" s="139">
        <f t="shared" si="0"/>
        <v>2</v>
      </c>
      <c r="BB10" s="139">
        <f t="shared" si="0"/>
        <v>7</v>
      </c>
      <c r="BC10" s="135">
        <f t="shared" si="0"/>
        <v>0</v>
      </c>
      <c r="BD10" s="136">
        <f>IF(ISNUMBER(BA10/AZ10),BA10/AZ10," - ")</f>
        <v>0.33333333333333331</v>
      </c>
      <c r="BE10" s="137">
        <f>IF(ISNUMBER(BB10/BA10),BB10/BA10, " - ")</f>
        <v>3.5</v>
      </c>
      <c r="BF10" s="137">
        <f>IF(ISNUMBER(BC10/BA10),BC10/BA10, " - ")</f>
        <v>0</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591</v>
      </c>
      <c r="J12" s="196">
        <v>324</v>
      </c>
      <c r="K12" s="196">
        <v>261</v>
      </c>
      <c r="L12" s="196">
        <v>663</v>
      </c>
      <c r="M12" s="196">
        <v>64</v>
      </c>
      <c r="N12" s="196">
        <v>129</v>
      </c>
      <c r="O12" s="194">
        <v>146</v>
      </c>
      <c r="P12" s="196">
        <v>74</v>
      </c>
      <c r="Q12" s="196">
        <v>110</v>
      </c>
      <c r="R12" s="196">
        <v>1620</v>
      </c>
      <c r="S12" s="196">
        <v>530</v>
      </c>
      <c r="T12" s="196">
        <v>320</v>
      </c>
      <c r="U12" s="196">
        <v>311</v>
      </c>
      <c r="V12" s="196">
        <v>540</v>
      </c>
      <c r="W12" s="196">
        <v>113</v>
      </c>
      <c r="X12" s="202">
        <v>122</v>
      </c>
      <c r="Y12" s="204">
        <v>46</v>
      </c>
      <c r="Z12" s="194">
        <v>25</v>
      </c>
      <c r="AA12" s="194">
        <v>26</v>
      </c>
      <c r="AB12" s="194">
        <v>45</v>
      </c>
      <c r="AC12" s="196">
        <v>0</v>
      </c>
      <c r="AD12" s="196">
        <v>0</v>
      </c>
      <c r="AE12" s="196">
        <v>0</v>
      </c>
      <c r="AF12" s="202">
        <v>0</v>
      </c>
      <c r="AG12" s="215">
        <v>50</v>
      </c>
      <c r="AH12" s="196">
        <v>27</v>
      </c>
      <c r="AI12" s="196">
        <v>25</v>
      </c>
      <c r="AJ12" s="216">
        <v>52</v>
      </c>
      <c r="AK12" s="195">
        <v>0</v>
      </c>
      <c r="AL12" s="196">
        <v>0</v>
      </c>
      <c r="AM12" s="196">
        <v>0</v>
      </c>
      <c r="AN12" s="202">
        <v>0</v>
      </c>
      <c r="AO12" s="283">
        <v>3</v>
      </c>
      <c r="AP12" s="168">
        <v>3</v>
      </c>
      <c r="AQ12" s="168">
        <v>3</v>
      </c>
      <c r="AR12" s="167">
        <v>3</v>
      </c>
      <c r="AS12" s="381" t="s">
        <v>1075</v>
      </c>
      <c r="AT12" s="216"/>
      <c r="AU12" s="215"/>
      <c r="AV12" s="216"/>
      <c r="AW12" s="215"/>
      <c r="AX12" s="216"/>
      <c r="AY12" s="136">
        <f t="shared" si="1"/>
        <v>580</v>
      </c>
      <c r="AZ12" s="137">
        <f t="shared" si="1"/>
        <v>347</v>
      </c>
      <c r="BA12" s="137">
        <f t="shared" si="1"/>
        <v>336</v>
      </c>
      <c r="BB12" s="137">
        <f t="shared" si="1"/>
        <v>592</v>
      </c>
      <c r="BC12" s="135">
        <f>IF(ISNUMBER(X12),X12," - ")</f>
        <v>122</v>
      </c>
      <c r="BD12" s="136">
        <f t="shared" si="2"/>
        <v>0.96829971181556196</v>
      </c>
      <c r="BE12" s="137">
        <f t="shared" si="3"/>
        <v>1.7619047619047619</v>
      </c>
      <c r="BF12" s="137">
        <f t="shared" si="4"/>
        <v>0.36309523809523808</v>
      </c>
      <c r="BG12" s="209">
        <f t="shared" si="5"/>
        <v>2.7589285714285716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598</v>
      </c>
      <c r="J14" s="197">
        <f t="shared" si="7"/>
        <v>328</v>
      </c>
      <c r="K14" s="197">
        <f t="shared" si="7"/>
        <v>267</v>
      </c>
      <c r="L14" s="197">
        <f t="shared" si="7"/>
        <v>668</v>
      </c>
      <c r="M14" s="197">
        <f t="shared" si="7"/>
        <v>67</v>
      </c>
      <c r="N14" s="197">
        <f t="shared" si="7"/>
        <v>132</v>
      </c>
      <c r="O14" s="197">
        <f t="shared" si="7"/>
        <v>147</v>
      </c>
      <c r="P14" s="197">
        <f t="shared" si="7"/>
        <v>74</v>
      </c>
      <c r="Q14" s="197">
        <f t="shared" si="7"/>
        <v>111</v>
      </c>
      <c r="R14" s="197">
        <f t="shared" si="7"/>
        <v>1633</v>
      </c>
      <c r="S14" s="197">
        <f t="shared" si="7"/>
        <v>533</v>
      </c>
      <c r="T14" s="197">
        <f t="shared" si="7"/>
        <v>326</v>
      </c>
      <c r="U14" s="197">
        <f t="shared" si="7"/>
        <v>313</v>
      </c>
      <c r="V14" s="197">
        <f t="shared" si="7"/>
        <v>547</v>
      </c>
      <c r="W14" s="197">
        <f t="shared" si="7"/>
        <v>113</v>
      </c>
      <c r="X14" s="197">
        <f t="shared" si="7"/>
        <v>122</v>
      </c>
      <c r="Y14" s="197">
        <f t="shared" si="7"/>
        <v>46</v>
      </c>
      <c r="Z14" s="197">
        <f t="shared" si="7"/>
        <v>25</v>
      </c>
      <c r="AA14" s="197">
        <f t="shared" si="7"/>
        <v>26</v>
      </c>
      <c r="AB14" s="197">
        <f t="shared" si="7"/>
        <v>45</v>
      </c>
      <c r="AC14" s="197">
        <f t="shared" si="7"/>
        <v>0</v>
      </c>
      <c r="AD14" s="197">
        <f t="shared" si="7"/>
        <v>0</v>
      </c>
      <c r="AE14" s="197">
        <f t="shared" si="7"/>
        <v>0</v>
      </c>
      <c r="AF14" s="197">
        <f>SUBTOTAL(9,AF9:AF13)</f>
        <v>0</v>
      </c>
      <c r="AG14" s="197">
        <f t="shared" ref="AG14:AT14" si="8">SUBTOTAL(9,AG8:AG13)</f>
        <v>50</v>
      </c>
      <c r="AH14" s="197">
        <f t="shared" si="8"/>
        <v>27</v>
      </c>
      <c r="AI14" s="197">
        <f t="shared" si="8"/>
        <v>25</v>
      </c>
      <c r="AJ14" s="197">
        <f t="shared" si="8"/>
        <v>52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583</v>
      </c>
      <c r="AZ14" s="197">
        <f>SUBTOTAL(9,AZ8:AZ13)</f>
        <v>353</v>
      </c>
      <c r="BA14" s="197">
        <f>SUBTOTAL(9,BA8:BA13)</f>
        <v>338</v>
      </c>
      <c r="BB14" s="197">
        <f>SUBTOTAL(9,BB8:BB13)</f>
        <v>599</v>
      </c>
      <c r="BC14" s="197">
        <f>SUBTOTAL(9,BC8:BC13)</f>
        <v>122</v>
      </c>
      <c r="BD14" s="219">
        <f>IF(ISNUMBER(BA14/AZ14),BA14/AZ14," - ")</f>
        <v>0.95750708215297453</v>
      </c>
      <c r="BE14" s="220">
        <f>IF(ISNUMBER(BB14/BA14),BB14/BA14, " - ")</f>
        <v>1.7721893491124261</v>
      </c>
      <c r="BF14" s="220">
        <f>IF(ISNUMBER(BC14/BA14),BC14/BA14, " - ")</f>
        <v>0.36094674556213019</v>
      </c>
      <c r="BG14" s="221">
        <f>IF(ISNUMBER((AY14+AZ14)/BA14),(AY14+AZ14)/BA14," - ")</f>
        <v>2.7692307692307692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421</v>
      </c>
      <c r="J17" s="196">
        <v>504</v>
      </c>
      <c r="K17" s="196">
        <v>372</v>
      </c>
      <c r="L17" s="196">
        <v>596</v>
      </c>
      <c r="M17" s="196">
        <v>44</v>
      </c>
      <c r="N17" s="196">
        <v>231</v>
      </c>
      <c r="O17" s="194">
        <v>0</v>
      </c>
      <c r="P17" s="196">
        <v>19</v>
      </c>
      <c r="Q17" s="196">
        <v>11</v>
      </c>
      <c r="R17" s="196">
        <v>74</v>
      </c>
      <c r="S17" s="196">
        <v>276</v>
      </c>
      <c r="T17" s="196">
        <v>427</v>
      </c>
      <c r="U17" s="196">
        <v>400</v>
      </c>
      <c r="V17" s="196">
        <v>304</v>
      </c>
      <c r="W17" s="196">
        <v>60</v>
      </c>
      <c r="X17" s="202">
        <v>256</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276</v>
      </c>
      <c r="AZ17" s="137">
        <f t="shared" si="10"/>
        <v>427</v>
      </c>
      <c r="BA17" s="137">
        <f t="shared" si="10"/>
        <v>400</v>
      </c>
      <c r="BB17" s="137">
        <f t="shared" si="10"/>
        <v>304</v>
      </c>
      <c r="BC17" s="135">
        <f>IF(ISNUMBER(W17),W17," - ")</f>
        <v>60</v>
      </c>
      <c r="BD17" s="136">
        <f t="shared" ref="BD17:BD22" si="12">IF(ISNUMBER(BA17/AZ17),BA17/AZ17," - ")</f>
        <v>0.93676814988290402</v>
      </c>
      <c r="BE17" s="137">
        <f t="shared" ref="BE17:BE22" si="13">IF(ISNUMBER(BB17/BA17),BB17/BA17, " - ")</f>
        <v>0.76</v>
      </c>
      <c r="BF17" s="137">
        <f t="shared" ref="BF17:BF22" si="14">IF(ISNUMBER(BC17/BA17),BC17/BA17, " - ")</f>
        <v>0.15</v>
      </c>
      <c r="BG17" s="209">
        <f t="shared" si="11"/>
        <v>1.7575000000000001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90</v>
      </c>
      <c r="J18" s="196">
        <v>33</v>
      </c>
      <c r="K18" s="196">
        <v>19</v>
      </c>
      <c r="L18" s="196">
        <v>41</v>
      </c>
      <c r="M18" s="196">
        <v>0</v>
      </c>
      <c r="N18" s="196">
        <v>29</v>
      </c>
      <c r="O18" s="196">
        <v>0</v>
      </c>
      <c r="P18" s="196">
        <v>0</v>
      </c>
      <c r="Q18" s="196">
        <v>0</v>
      </c>
      <c r="R18" s="196">
        <v>0</v>
      </c>
      <c r="S18" s="196">
        <v>35</v>
      </c>
      <c r="T18" s="196">
        <v>39</v>
      </c>
      <c r="U18" s="196">
        <v>29</v>
      </c>
      <c r="V18" s="196">
        <v>45</v>
      </c>
      <c r="W18" s="196">
        <v>0</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39</v>
      </c>
      <c r="BA18" s="139">
        <f t="shared" si="15"/>
        <v>29</v>
      </c>
      <c r="BB18" s="139">
        <f t="shared" si="15"/>
        <v>45</v>
      </c>
      <c r="BC18" s="135">
        <f>IF(ISNUMBER(W18),W18," - ")</f>
        <v>0</v>
      </c>
      <c r="BD18" s="136">
        <f>IF(ISNUMBER(BA18/AZ18),BA18/AZ18," - ")</f>
        <v>0.74358974358974361</v>
      </c>
      <c r="BE18" s="137">
        <f>IF(ISNUMBER(BB18/BA18),BB18/BA18, " - ")</f>
        <v>1.5517241379310345</v>
      </c>
      <c r="BF18" s="137">
        <f>IF(ISNUMBER(BC18/BA18),BC18/BA18, " - ")</f>
        <v>0</v>
      </c>
      <c r="BG18" s="209">
        <f>IF(ISNUMBER((AY18+AZ18)/BA18),(AY18+AZ18)/BA18," - ")</f>
        <v>2.5517241379310347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511</v>
      </c>
      <c r="J23" s="197">
        <f t="shared" si="21"/>
        <v>537</v>
      </c>
      <c r="K23" s="197">
        <f t="shared" si="21"/>
        <v>391</v>
      </c>
      <c r="L23" s="197">
        <f t="shared" si="21"/>
        <v>637</v>
      </c>
      <c r="M23" s="197">
        <f t="shared" si="21"/>
        <v>44</v>
      </c>
      <c r="N23" s="197">
        <f t="shared" si="21"/>
        <v>260</v>
      </c>
      <c r="O23" s="197">
        <f t="shared" si="21"/>
        <v>0</v>
      </c>
      <c r="P23" s="197">
        <f t="shared" si="21"/>
        <v>19</v>
      </c>
      <c r="Q23" s="197">
        <f t="shared" si="21"/>
        <v>11</v>
      </c>
      <c r="R23" s="197">
        <f t="shared" si="21"/>
        <v>74</v>
      </c>
      <c r="S23" s="197">
        <f t="shared" si="21"/>
        <v>311</v>
      </c>
      <c r="T23" s="197">
        <f t="shared" si="21"/>
        <v>466</v>
      </c>
      <c r="U23" s="197">
        <f t="shared" si="21"/>
        <v>429</v>
      </c>
      <c r="V23" s="197">
        <f t="shared" si="21"/>
        <v>349</v>
      </c>
      <c r="W23" s="197">
        <f t="shared" si="21"/>
        <v>60</v>
      </c>
      <c r="X23" s="197">
        <f t="shared" si="21"/>
        <v>279</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311</v>
      </c>
      <c r="AZ23" s="197">
        <f>SUBTOTAL(9,AZ15:AZ22)</f>
        <v>466</v>
      </c>
      <c r="BA23" s="197">
        <f>SUBTOTAL(9,BA15:BA22)</f>
        <v>429</v>
      </c>
      <c r="BB23" s="197">
        <f>SUBTOTAL(9,BB15:BB22)</f>
        <v>349</v>
      </c>
      <c r="BC23" s="197">
        <f>SUBTOTAL(9,BC15:BC22)</f>
        <v>60</v>
      </c>
      <c r="BD23" s="219">
        <f>IF(ISNUMBER(BA23/AZ23),BA23/AZ23," - ")</f>
        <v>0.92060085836909866</v>
      </c>
      <c r="BE23" s="220">
        <f>IF(ISNUMBER(BB23/BA23),BB23/BA23, " - ")</f>
        <v>0.81351981351981351</v>
      </c>
      <c r="BF23" s="220">
        <f>IF(ISNUMBER(BC23/BA23),BC23/BA23, " - ")</f>
        <v>0.13986013986013987</v>
      </c>
      <c r="BG23" s="221">
        <f>IF(ISNUMBER((AY23+AZ23)/BA23),(AY23+AZ23)/BA23," - ")</f>
        <v>1.8111888111888113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1109</v>
      </c>
      <c r="J31" s="144">
        <f t="shared" si="36"/>
        <v>865</v>
      </c>
      <c r="K31" s="144">
        <f t="shared" si="36"/>
        <v>658</v>
      </c>
      <c r="L31" s="144">
        <f t="shared" si="36"/>
        <v>1305</v>
      </c>
      <c r="M31" s="144">
        <f t="shared" si="36"/>
        <v>111</v>
      </c>
      <c r="N31" s="144">
        <f t="shared" si="36"/>
        <v>392</v>
      </c>
      <c r="O31" s="144">
        <f t="shared" si="36"/>
        <v>147</v>
      </c>
      <c r="P31" s="144">
        <f t="shared" si="36"/>
        <v>93</v>
      </c>
      <c r="Q31" s="144">
        <f t="shared" si="36"/>
        <v>122</v>
      </c>
      <c r="R31" s="144">
        <f t="shared" si="36"/>
        <v>1707</v>
      </c>
      <c r="S31" s="144">
        <f t="shared" si="36"/>
        <v>844</v>
      </c>
      <c r="T31" s="144">
        <f t="shared" si="36"/>
        <v>792</v>
      </c>
      <c r="U31" s="144">
        <f t="shared" si="36"/>
        <v>742</v>
      </c>
      <c r="V31" s="144">
        <f t="shared" si="36"/>
        <v>896</v>
      </c>
      <c r="W31" s="144">
        <f t="shared" si="36"/>
        <v>173</v>
      </c>
      <c r="X31" s="144">
        <f t="shared" si="36"/>
        <v>401</v>
      </c>
      <c r="Y31" s="144">
        <f t="shared" si="36"/>
        <v>46</v>
      </c>
      <c r="Z31" s="144">
        <f t="shared" si="36"/>
        <v>25</v>
      </c>
      <c r="AA31" s="144">
        <f t="shared" si="36"/>
        <v>26</v>
      </c>
      <c r="AB31" s="144">
        <f t="shared" si="36"/>
        <v>45</v>
      </c>
      <c r="AC31" s="144">
        <f t="shared" si="36"/>
        <v>0</v>
      </c>
      <c r="AD31" s="144">
        <f t="shared" si="36"/>
        <v>2</v>
      </c>
      <c r="AE31" s="144">
        <f t="shared" si="36"/>
        <v>2</v>
      </c>
      <c r="AF31" s="144">
        <f t="shared" si="36"/>
        <v>0</v>
      </c>
      <c r="AG31" s="144">
        <f t="shared" si="36"/>
        <v>50</v>
      </c>
      <c r="AH31" s="144">
        <f t="shared" si="36"/>
        <v>27</v>
      </c>
      <c r="AI31" s="144">
        <f t="shared" si="36"/>
        <v>25</v>
      </c>
      <c r="AJ31" s="144">
        <f t="shared" si="36"/>
        <v>52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894</v>
      </c>
      <c r="AZ31" s="144">
        <f>SUBTOTAL(9,AZ9:AZ30)</f>
        <v>819</v>
      </c>
      <c r="BA31" s="144">
        <f>SUBTOTAL(9,BA9:BA30)</f>
        <v>767</v>
      </c>
      <c r="BB31" s="144">
        <f>SUBTOTAL(9,BB9:BB30)</f>
        <v>948</v>
      </c>
      <c r="BC31" s="145">
        <f>SUBTOTAL(9,BC9:BC30)</f>
        <v>182</v>
      </c>
      <c r="BD31" s="227">
        <f>IF(ISNUMBER(BA31/AZ31),BA31/AZ31," - ")</f>
        <v>0.93650793650793651</v>
      </c>
      <c r="BE31" s="224">
        <f>IF(ISNUMBER(BB31/BA31),BB31/BA31, " - ")</f>
        <v>1.2359843546284224</v>
      </c>
      <c r="BF31" s="224">
        <f>IF(ISNUMBER(BC31/BA31),BC31/BA31, " - ")</f>
        <v>0.23728813559322035</v>
      </c>
      <c r="BG31" s="145">
        <f>IF(ISNUMBER((AY31+AZ31)/BA31),(AY31+AZ31)/BA31," - ")</f>
        <v>2.2333767926988264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y5MrHjAkA/KXwO5ub6QPzdvr1LIyy+8onNTwDuztptGoE2F8lQTuBbm5jfDTxgw6dGx/Qm4SKkDMHZJbA5sVA==" saltValue="CUxECsFkn5qzWjvcIp6p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XrMh4ehebDcn7zz4G/1QV6cAuA5qJJpjeDml2QqewRtdMaMq9capR6Aw2LQtQGc1ooaCQkVi0sS2jAAzwMovQ==" saltValue="XYNNLRNhZ9GQCGjlCECh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MEDINA DEL CAMPO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5</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3</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1.666666666666667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-7.1428571428571425E-2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1620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64</v>
      </c>
      <c r="BD12" s="693">
        <f>IF(ISNUMBER(Datos!N12),Datos!N12," - ")</f>
        <v>129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0.82234957020057309</v>
      </c>
      <c r="BH12" s="764">
        <f>IF(ISNUMBER(((IF(J_V="SI",Datos!L12/Datos!K12,(Datos!L12+Datos!AB12)/(Datos!K12+Datos!AA12)))*11)/factor_trimestre),((IF(J_V="SI",Datos!L12/Datos!K12,(Datos!L12+Datos!AB12)/(Datos!K12+Datos!AA12)))*11)/factor_trimestre," - ")</f>
        <v>4.9337979094076658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-2.1739130434782608E-2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111</v>
      </c>
      <c r="AD14" s="1198">
        <f t="shared" si="2"/>
        <v>0</v>
      </c>
      <c r="AE14" s="1198">
        <f t="shared" si="2"/>
        <v>0</v>
      </c>
      <c r="AF14" s="1198">
        <f t="shared" si="2"/>
        <v>5</v>
      </c>
      <c r="AG14" s="1198">
        <f t="shared" si="2"/>
        <v>0</v>
      </c>
      <c r="AH14" s="1198">
        <f t="shared" si="2"/>
        <v>45</v>
      </c>
      <c r="AI14" s="1198">
        <f t="shared" si="2"/>
        <v>0</v>
      </c>
      <c r="AJ14" s="1198">
        <f t="shared" si="2"/>
        <v>0</v>
      </c>
      <c r="AK14" s="1198">
        <f t="shared" si="2"/>
        <v>0</v>
      </c>
      <c r="AL14" s="1198">
        <f t="shared" si="2"/>
        <v>0</v>
      </c>
      <c r="AM14" s="1198">
        <f t="shared" si="2"/>
        <v>1633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132</v>
      </c>
      <c r="BE14" s="1198">
        <f t="shared" si="2"/>
        <v>0</v>
      </c>
      <c r="BF14" s="1198">
        <f t="shared" si="2"/>
        <v>0</v>
      </c>
      <c r="BG14" s="1198">
        <f>IF(ISNUMBER(Datos!K14/Datos!J14),Datos!K14/Datos!J14," - ")</f>
        <v>0.81402439024390238</v>
      </c>
      <c r="BH14" s="1202">
        <f>IF(ISNUMBER(((Datos!L14/Datos!K14)*11)/factor_trimestre),((Datos!L14/Datos!K14)*11)/factor_trimestre," - ")</f>
        <v>5.0037453183520597</v>
      </c>
      <c r="BI14" s="1198">
        <f>IF(ISNUMBER('Resol  Asuntos'!D14/NºAsuntos!G14),'Resol  Asuntos'!D14/NºAsuntos!G14," - ")</f>
        <v>0.22866894197952217</v>
      </c>
      <c r="BJ14" s="1198" t="str">
        <f>IF(ISNUMBER(Datos!CI14/Datos!CJ14),Datos!CI14/Datos!CJ14," - ")</f>
        <v xml:space="preserve"> - </v>
      </c>
      <c r="BK14" s="1198">
        <f>SUBTOTAL(9,BK8:BK13)</f>
        <v>0</v>
      </c>
      <c r="BL14" s="1198">
        <f>IF(ISNUMBER((I14-AB14+L14)/(F14)),(I14-AB14+L14)/(F14)," - ")</f>
        <v>-0.8571428571428571</v>
      </c>
      <c r="BM14" s="1203">
        <f>SUBTOTAL(9,BM9:BM13)</f>
        <v>-9.3167701863354033E-2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464</v>
      </c>
      <c r="G17" s="743">
        <f>IF(ISNUMBER(IF(D_I="SI",Datos!I17,Datos!I17+Datos!AC17)),IF(D_I="SI",Datos!I17,Datos!I17+Datos!AC17)," - ")</f>
        <v>421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372</v>
      </c>
      <c r="AC17" s="240">
        <f>IF(ISNUMBER(Datos!Q17),Datos!Q17," - ")</f>
        <v>11</v>
      </c>
      <c r="AD17" s="374"/>
      <c r="AE17" s="562"/>
      <c r="AF17" s="741">
        <f>IF(ISNUMBER(IF(D_I="SI",Datos!L17,Datos!L17+Datos!AF17)),IF(D_I="SI",Datos!L17,Datos!L17+Datos!AF17)," - ")</f>
        <v>596</v>
      </c>
      <c r="AG17" s="374"/>
      <c r="AH17" s="374"/>
      <c r="AI17" s="374"/>
      <c r="AJ17" s="549"/>
      <c r="AK17" s="374"/>
      <c r="AL17" s="545"/>
      <c r="AM17" s="375">
        <f>IF(ISNUMBER(Datos!R17),Datos!R17," - ")</f>
        <v>74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231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0.73809523809523814</v>
      </c>
      <c r="BH17" s="764">
        <f>IF(ISNUMBER(((IF(D_I="SI",Datos!L17/Datos!K17,(Datos!L17+Datos!AF17)/(Datos!K17+Datos!AE17)))*11)/factor_trimestre),((IF(D_I="SI",Datos!L17/Datos!K17,(Datos!L17+Datos!AF17)/(Datos!K17+Datos!AE17)))*11)/factor_trimestre," - ")</f>
        <v>3.2043010752688166</v>
      </c>
      <c r="BI17" s="266">
        <f>IF(ISNUMBER('Resol  Asuntos'!D17/NºAsuntos!G17),'Resol  Asuntos'!D17/NºAsuntos!G17," - ")</f>
        <v>0.11827956989247312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41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0.5757575757575758</v>
      </c>
      <c r="BH18" s="764">
        <f>IF(ISNUMBER(((IF(D_I="SI",Datos!L18/Datos!K18,(Datos!L18+Datos!AF18)/(Datos!K18+Datos!AE18)))*11)/factor_trimestre),((IF(D_I="SI",Datos!L18/Datos!K18,(Datos!L18+Datos!AF18)/(Datos!K18+Datos!AE18)))*11)/factor_trimestre," - ")</f>
        <v>4.3157894736842106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464</v>
      </c>
      <c r="G23" s="1197">
        <f>SUBTOTAL(9,G16:G22)</f>
        <v>511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391</v>
      </c>
      <c r="AC23" s="1198">
        <f t="shared" si="5"/>
        <v>11</v>
      </c>
      <c r="AD23" s="1198">
        <f t="shared" si="5"/>
        <v>0</v>
      </c>
      <c r="AE23" s="1198">
        <f t="shared" si="5"/>
        <v>0</v>
      </c>
      <c r="AF23" s="1198">
        <f t="shared" si="5"/>
        <v>637</v>
      </c>
      <c r="AG23" s="1198">
        <f t="shared" si="5"/>
        <v>0</v>
      </c>
      <c r="AH23" s="1198">
        <f t="shared" si="5"/>
        <v>0</v>
      </c>
      <c r="AI23" s="1198">
        <f t="shared" si="5"/>
        <v>0</v>
      </c>
      <c r="AJ23" s="1198">
        <f t="shared" si="5"/>
        <v>0</v>
      </c>
      <c r="AK23" s="1198">
        <f t="shared" si="5"/>
        <v>0</v>
      </c>
      <c r="AL23" s="1198">
        <f t="shared" si="5"/>
        <v>0</v>
      </c>
      <c r="AM23" s="1198">
        <f t="shared" si="5"/>
        <v>74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260</v>
      </c>
      <c r="BE23" s="1198">
        <f t="shared" si="5"/>
        <v>0</v>
      </c>
      <c r="BF23" s="1198">
        <f t="shared" si="5"/>
        <v>0</v>
      </c>
      <c r="BG23" s="1198">
        <f>IF(ISNUMBER(Datos!K23/Datos!J23),Datos!K23/Datos!J23," - ")</f>
        <v>0.72811918063314707</v>
      </c>
      <c r="BH23" s="1202">
        <f>IF(ISNUMBER(((Datos!L23/Datos!K23)*11)/factor_trimestre),((Datos!L23/Datos!K23)*11)/factor_trimestre," - ")</f>
        <v>3.2583120204603584</v>
      </c>
      <c r="BI23" s="1198">
        <f>SUBTOTAL(9,BI16:BI22)</f>
        <v>0.11827956989247312</v>
      </c>
      <c r="BJ23" s="1198">
        <f>SUBTOTAL(9,BJ16:BJ22)</f>
        <v>0</v>
      </c>
      <c r="BK23" s="1198">
        <f>SUBTOTAL(9,BK16:BK22)</f>
        <v>0</v>
      </c>
      <c r="BL23" s="1198">
        <f>IF(ISNUMBER((I23-AB23+L23)/(F23)),(I23-AB23+L23)/(F23)," - ")</f>
        <v>-0.84267241379310343</v>
      </c>
      <c r="BM23" s="1205">
        <f>IF(ISNUMBER((Datos!P23-Datos!Q23)/(Datos!R23-Datos!P23+Datos!Q23)),(Datos!P23-Datos!Q23)/(Datos!R23-Datos!P23+Datos!Q23)," - ")</f>
        <v>0.12121212121212122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471</v>
      </c>
      <c r="G31" s="1117">
        <f t="shared" si="18"/>
        <v>518</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397</v>
      </c>
      <c r="AC31" s="1118">
        <f t="shared" si="19"/>
        <v>122</v>
      </c>
      <c r="AD31" s="1118">
        <f t="shared" si="19"/>
        <v>0</v>
      </c>
      <c r="AE31" s="1118">
        <f t="shared" si="19"/>
        <v>0</v>
      </c>
      <c r="AF31" s="1125">
        <f t="shared" si="19"/>
        <v>642</v>
      </c>
      <c r="AG31" s="1125">
        <f t="shared" si="19"/>
        <v>0</v>
      </c>
      <c r="AH31" s="1125">
        <f t="shared" si="19"/>
        <v>45</v>
      </c>
      <c r="AI31" s="1125">
        <f t="shared" si="19"/>
        <v>0</v>
      </c>
      <c r="AJ31" s="1118">
        <f t="shared" si="19"/>
        <v>0</v>
      </c>
      <c r="AK31" s="1125">
        <f t="shared" si="19"/>
        <v>0</v>
      </c>
      <c r="AL31" s="1125">
        <f t="shared" si="19"/>
        <v>0</v>
      </c>
      <c r="AM31" s="1125">
        <f t="shared" si="19"/>
        <v>1707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v>
      </c>
      <c r="BD31" s="1117">
        <f t="shared" si="19"/>
        <v>392</v>
      </c>
      <c r="BE31" s="1117">
        <f t="shared" si="19"/>
        <v>0</v>
      </c>
      <c r="BF31" s="1127">
        <f t="shared" si="19"/>
        <v>0</v>
      </c>
      <c r="BG31" s="1223">
        <f>IF(ISNUMBER(Datos!K31/Datos!J31),Datos!K31/Datos!J31," - ")</f>
        <v>0.76069364161849706</v>
      </c>
      <c r="BH31" s="1223">
        <f>IF(ISNUMBER(((Datos!L31/Datos!K31)*11)/factor_trimestre),((Datos!L31/Datos!K31)*11)/factor_trimestre," - ")</f>
        <v>3.9665653495440734</v>
      </c>
      <c r="BI31" s="1103">
        <f>IF(ISNUMBER(Datos!J31/Datos!I31),Datos!J31/Datos!I31," - ")</f>
        <v>0.77998196573489631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-0.8428874734607219</v>
      </c>
      <c r="BM31" s="1188">
        <f>IF(ISNUMBER((Datos!P31-Datos!Q31+R31)/(Datos!R31-Datos!P31+Datos!Q31-R31)),(Datos!P31-Datos!Q31+R31)/(Datos!R31-Datos!P31+Datos!Q31-R31)," - ")</f>
        <v>-1.6705069124423964E-2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237.82178201333872</v>
      </c>
      <c r="G33" s="674">
        <f>IF(ISNUMBER(STDEV(G8:G30)),STDEV(G8:G30),"-")</f>
        <v>221.07012462112559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183.31926352937484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30.013092381254456</v>
      </c>
      <c r="BD33" s="673"/>
      <c r="BE33" s="673">
        <f>IF(ISNUMBER(STDEV(BE8:BE30)),STDEV(BE8:BE30),"-")</f>
        <v>0</v>
      </c>
      <c r="BF33" s="678">
        <f>IF(ISNUMBER(STDEV(BF8:BF30)),STDEV(BF8:BF30),"-")</f>
        <v>0</v>
      </c>
      <c r="BG33" s="1052">
        <f>IF(ISNUMBER(STDEV(BG8:BG30)),STDEV(BG8:BG30),"-")</f>
        <v>0.32438319719449527</v>
      </c>
      <c r="BH33" s="1058">
        <f>IF(ISNUMBER(STDEV(BH8:BH30)),STDEV(BH8:BH30),"-")</f>
        <v>1.2783503484297953</v>
      </c>
      <c r="BI33" s="273">
        <f>IF(ISNUMBER(STDEV(BI8:BI30)),STDEV(BI8:BI30),"-")</f>
        <v>9.3381486956050752E-2</v>
      </c>
      <c r="BJ33" s="244" t="str">
        <f>IF(ISNUMBER(BL33/BM33),BL33/BM33," - ")</f>
        <v xml:space="preserve"> - </v>
      </c>
      <c r="BK33" s="709"/>
      <c r="BL33" s="681">
        <f>IF(ISNUMBER(STDEV(BL8:BL30)),STDEV(BL8:BL30),"-")</f>
        <v>1.0232148619386599E-2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C+Bm8sVydxXk6xDfExRX+5Vj4O5HAVraCRtY+FgNYJjjPEBG+KkYXMRYSRlWomF/SwHVPgGRuNlf/5adewdfA==" saltValue="5zJ2RR5D6fIWiFn+iEmG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MEDINA DEL CAMPO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5</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1.666666666666667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-7.1428571428571425E-2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110</v>
      </c>
      <c r="AA12" s="551" t="str">
        <f>IF(ISNUMBER(IF(J_V="SI",Datos!L12,Datos!L12+Datos!AB12)-IF(Monitorios="SI",Datos!CD12,0)),
                          IF(J_V="SI",Datos!L12,Datos!L12+Datos!AB12)-IF(Monitorios="SI",Datos!CD12,0),
                          " - ")</f>
        <v xml:space="preserve"> - </v>
      </c>
      <c r="AB12" s="549"/>
      <c r="AC12" s="549"/>
      <c r="AD12" s="563"/>
      <c r="AE12" s="563">
        <f>IF(ISNUMBER(Datos!R12),Datos!R12," - ")</f>
        <v>1620</v>
      </c>
      <c r="AF12" s="693" t="str">
        <f>IF(ISNUMBER(Datos!BV12),Datos!BV12," - ")</f>
        <v xml:space="preserve"> - </v>
      </c>
      <c r="AG12" s="552" t="str">
        <f>IF(ISNUMBER(Datos!DV12),Datos!DV12," - ")</f>
        <v xml:space="preserve"> - </v>
      </c>
      <c r="AH12" s="553"/>
      <c r="AI12" s="554"/>
      <c r="AJ12" s="552">
        <f>IF(ISNUMBER(Datos!M12),Datos!M12," - ")</f>
        <v>64</v>
      </c>
      <c r="AK12" s="693">
        <f>IF(ISNUMBER(Datos!N12),Datos!N12," - ")</f>
        <v>129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4.9337979094076658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-2.1739130434782608E-2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111</v>
      </c>
      <c r="AA14" s="1199">
        <f t="shared" si="3"/>
        <v>5</v>
      </c>
      <c r="AB14" s="1199">
        <f t="shared" si="3"/>
        <v>0</v>
      </c>
      <c r="AC14" s="1199">
        <f t="shared" si="3"/>
        <v>0</v>
      </c>
      <c r="AD14" s="1199">
        <f t="shared" si="3"/>
        <v>0</v>
      </c>
      <c r="AE14" s="1199">
        <f t="shared" si="3"/>
        <v>1633</v>
      </c>
      <c r="AF14" s="1211">
        <f t="shared" si="3"/>
        <v>0</v>
      </c>
      <c r="AG14" s="1211">
        <f t="shared" si="3"/>
        <v>0</v>
      </c>
      <c r="AH14" s="1211">
        <f t="shared" si="3"/>
        <v>0</v>
      </c>
      <c r="AI14" s="1211">
        <f t="shared" si="3"/>
        <v>0</v>
      </c>
      <c r="AJ14" s="1211">
        <f t="shared" si="3"/>
        <v>67</v>
      </c>
      <c r="AK14" s="1211">
        <f t="shared" si="3"/>
        <v>132</v>
      </c>
      <c r="AL14" s="1211">
        <f t="shared" si="3"/>
        <v>0</v>
      </c>
      <c r="AM14" s="1211">
        <f t="shared" si="3"/>
        <v>0</v>
      </c>
      <c r="AN14" s="1211">
        <f t="shared" si="3"/>
        <v>0</v>
      </c>
      <c r="AO14" s="1203">
        <f>IF(ISNUMBER(((NºAsuntos!I14/NºAsuntos!G14)*11)/factor_trimestre),((NºAsuntos!I14/NºAsuntos!G14)*11)/factor_trimestre," - ")</f>
        <v>4.8668941979522184</v>
      </c>
      <c r="AP14" s="1213" t="str">
        <f>IF(ISNUMBER(Datos!CI14/Datos!CJ14),Datos!CI14/Datos!CJ14," - ")</f>
        <v xml:space="preserve"> - </v>
      </c>
      <c r="AQ14" s="1236">
        <f t="shared" ref="AQ14:AV14" si="4">SUBTOTAL(9,AQ9:AQ13)</f>
        <v>0</v>
      </c>
      <c r="AR14" s="1236">
        <f t="shared" si="4"/>
        <v>-9.3167701863354033E-2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464</v>
      </c>
      <c r="G17" s="552">
        <f>IF(ISNUMBER(IF(D_I="SI",Datos!I17,Datos!I17+Datos!AC17)),IF(D_I="SI",Datos!I17,Datos!I17+Datos!AC17)," - ")</f>
        <v>421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372</v>
      </c>
      <c r="Z17" s="805">
        <f>IF(ISNUMBER(Datos!Q17),Datos!Q17," - ")</f>
        <v>11</v>
      </c>
      <c r="AA17" s="551">
        <f>IF(ISNUMBER(IF(D_I="SI",Datos!L17,Datos!L17+Datos!AF17)),IF(D_I="SI",Datos!L17,Datos!L17+Datos!AF17)," - ")</f>
        <v>596</v>
      </c>
      <c r="AB17" s="549"/>
      <c r="AC17" s="549"/>
      <c r="AD17" s="563"/>
      <c r="AE17" s="563">
        <f>IF(ISNUMBER(Datos!R17),Datos!R17," - ")</f>
        <v>74</v>
      </c>
      <c r="AF17" s="693" t="str">
        <f>IF(ISNUMBER(Datos!BV17),Datos!BV17," - ")</f>
        <v xml:space="preserve"> - </v>
      </c>
      <c r="AG17" s="552"/>
      <c r="AH17" s="553"/>
      <c r="AI17" s="554"/>
      <c r="AJ17" s="552">
        <f>IF(ISNUMBER(Datos!M17),Datos!M17," - ")</f>
        <v>44</v>
      </c>
      <c r="AK17" s="693">
        <f>IF(ISNUMBER(Datos!N17),Datos!N17," - ")</f>
        <v>231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3.2043010752688166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41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4.3157894736842106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464</v>
      </c>
      <c r="G23" s="1197">
        <f>SUBTOTAL(9,G16:G22)</f>
        <v>511</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391</v>
      </c>
      <c r="Z23" s="1240">
        <f t="shared" si="6"/>
        <v>11</v>
      </c>
      <c r="AA23" s="1240">
        <f t="shared" si="6"/>
        <v>637</v>
      </c>
      <c r="AB23" s="1240">
        <f t="shared" si="6"/>
        <v>0</v>
      </c>
      <c r="AC23" s="1240">
        <f t="shared" si="6"/>
        <v>0</v>
      </c>
      <c r="AD23" s="1240">
        <f t="shared" si="6"/>
        <v>0</v>
      </c>
      <c r="AE23" s="1240">
        <f t="shared" si="6"/>
        <v>74</v>
      </c>
      <c r="AF23" s="1240">
        <f t="shared" si="6"/>
        <v>0</v>
      </c>
      <c r="AG23" s="1240">
        <f t="shared" si="6"/>
        <v>0</v>
      </c>
      <c r="AH23" s="1240">
        <f t="shared" si="6"/>
        <v>0</v>
      </c>
      <c r="AI23" s="1240">
        <f t="shared" si="6"/>
        <v>0</v>
      </c>
      <c r="AJ23" s="1240">
        <f t="shared" si="6"/>
        <v>44</v>
      </c>
      <c r="AK23" s="1240">
        <f t="shared" si="6"/>
        <v>260</v>
      </c>
      <c r="AL23" s="1240">
        <f t="shared" si="6"/>
        <v>0</v>
      </c>
      <c r="AM23" s="1240">
        <f t="shared" si="6"/>
        <v>0</v>
      </c>
      <c r="AN23" s="1240">
        <f t="shared" si="6"/>
        <v>0</v>
      </c>
      <c r="AO23" s="1242">
        <f>IF(ISNUMBER(((NºAsuntos!I23/NºAsuntos!G23)*11)/factor_trimestre),((NºAsuntos!I23/NºAsuntos!G23)*11)/factor_trimestre," - ")</f>
        <v>3.2583120204603584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471</v>
      </c>
      <c r="G31" s="1117">
        <f t="shared" si="12"/>
        <v>518</v>
      </c>
      <c r="H31" s="1118">
        <f t="shared" si="12"/>
        <v>0</v>
      </c>
      <c r="I31" s="1117">
        <f t="shared" si="12"/>
        <v>0</v>
      </c>
      <c r="J31" s="1119">
        <f t="shared" si="12"/>
        <v>0</v>
      </c>
      <c r="K31" s="1117">
        <f t="shared" si="12"/>
        <v>0</v>
      </c>
      <c r="L31" s="1120">
        <f t="shared" si="12"/>
        <v>0</v>
      </c>
      <c r="M31" s="1117">
        <f t="shared" si="12"/>
        <v>0</v>
      </c>
      <c r="N31" s="1118">
        <f t="shared" si="12"/>
        <v>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397</v>
      </c>
      <c r="Z31" s="1124">
        <f t="shared" si="13"/>
        <v>122</v>
      </c>
      <c r="AA31" s="1125">
        <f t="shared" si="13"/>
        <v>642</v>
      </c>
      <c r="AB31" s="1125">
        <f t="shared" si="13"/>
        <v>0</v>
      </c>
      <c r="AC31" s="1125">
        <f t="shared" si="13"/>
        <v>0</v>
      </c>
      <c r="AD31" s="1126">
        <f t="shared" si="13"/>
        <v>0</v>
      </c>
      <c r="AE31" s="1126">
        <f t="shared" si="13"/>
        <v>1707</v>
      </c>
      <c r="AF31" s="1127">
        <f t="shared" si="13"/>
        <v>0</v>
      </c>
      <c r="AG31" s="1128">
        <f t="shared" si="13"/>
        <v>0</v>
      </c>
      <c r="AH31" s="1129">
        <f t="shared" si="13"/>
        <v>0</v>
      </c>
      <c r="AI31" s="1127">
        <f t="shared" si="13"/>
        <v>0</v>
      </c>
      <c r="AJ31" s="1117">
        <f t="shared" si="13"/>
        <v>111</v>
      </c>
      <c r="AK31" s="1117">
        <f t="shared" si="13"/>
        <v>392</v>
      </c>
      <c r="AL31" s="1117">
        <f t="shared" si="13"/>
        <v>0</v>
      </c>
      <c r="AM31" s="1130">
        <f t="shared" si="13"/>
        <v>0</v>
      </c>
      <c r="AN31" s="1120">
        <f>IF(ISNUMBER(Datos!K31/Datos!J31),Datos!K31/Datos!J31," - ")</f>
        <v>0.76069364161849706</v>
      </c>
      <c r="AO31" s="1120">
        <f>IF(ISNUMBER(FIND("06",Criterios!A8,1)),(IF(ISNUMBER(((Datos!R31/Datos!Q31)*11)/factor_trimestre),((Datos!R31/Datos!Q31)*11)/factor_trimestre," - ")),(IF(ISNUMBER(((Datos!L31/Datos!K31)*11)/factor_trimestre),((Datos!L31/Datos!K31)*11)/factor_trimestre," - ")))</f>
        <v>3.9665653495440734</v>
      </c>
      <c r="AP31" s="1131" t="str">
        <f>IF(ISNUMBER(Datos!CI31/Datos!CJ31),Datos!CI31/Datos!CJ31," - ")</f>
        <v xml:space="preserve"> - </v>
      </c>
      <c r="AQ31" s="1131">
        <f>IF(OR(ISNUMBER(FIND("01",Criterios!A8,1)),ISNUMBER(FIND("02",Criterios!A8,1)),ISNUMBER(FIND("03",Criterios!A8,1)),ISNUMBER(FIND("04",Criterios!A8,1))),(J31-Y31+K31)/(F31-K31),(I31-Y31+K31)/(F31-K31))</f>
        <v>-0.8428874734607219</v>
      </c>
      <c r="AR31" s="1131">
        <f>IF(ISNUMBER((Datos!P31-Datos!Q31+O31)/(Datos!R31-Datos!P31+Datos!Q31-O31)),(Datos!P31-Datos!Q31+O31)/(Datos!R31-Datos!P31+Datos!Q31-O31)," - ")</f>
        <v>-1.6705069124423964E-2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237.82178201333872</v>
      </c>
      <c r="G33" s="674">
        <f>IF(ISNUMBER(STDEV(G8:G30)),STDEV(G8:G30),"-")</f>
        <v>221.07012462112559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30.013092381254456</v>
      </c>
      <c r="AK33" s="276"/>
      <c r="AL33" s="276">
        <f>IF(ISNUMBER(STDEV(AL8:AL30)),STDEV(AL8:AL30),"-")</f>
        <v>0</v>
      </c>
      <c r="AM33" s="278">
        <f>IF(ISNUMBER(STDEV(AM8:AM30)),STDEV(AM8:AM30),"-")</f>
        <v>0</v>
      </c>
      <c r="AN33" s="660">
        <f>IF(ISNUMBER(STDEV(AN8:AN30)),STDEV(AN8:AN30),"-")</f>
        <v>0</v>
      </c>
      <c r="AO33" s="661">
        <f>IF(ISNUMBER(STDEV(AO8:AO30)),STDEV(AO8:AO30),"-")</f>
        <v>1.2520381103871039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kqXTsU3C8gxAfM+EWaTMJ/BaB91jrlCYSoHgQYqHaDbR3AIHkflUSfikN3yNN7hIgfZJUMNxiJEIKyBActjRQ==" saltValue="6ywDEOcykIxDREHcIFfn0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Z5aBOtpS/Lj6nYxCUVqpJSiR39IY6SrDcpwBTZdMtKut0S6M0s3c6Jcqk2fa7iV5QksJ2QrfTYEEw+Bs9bZcQ==" saltValue="zve+fnUULUyZ7gSoqJga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4AbI5KzmzOhe8Xg0nwOh+DF+/FSZaSe3JYIDSv8NYB11ZLN8hZnmNSHqmmEM+rOc4nmKPkVCKJUYo5KWPzI4A==" saltValue="zwmEY5PVSOnRyU/Fwcdn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MEDINA DEL CAMPO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0.22866894197952217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0.16169335952047331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5rxjsr2/BAJ+Wdf3q2V1+Oi/JJZrpU8oeHZx0fY4I0SLvUHVGRgQ05SQ/8x7QidmVI+USIkiv10W9Lzat4ASw==" saltValue="j77mZE/0z5X0EDl7a5RZ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J39Bdd7OBQbA2LjIgncT1bTYf0WsWRtWtXsHxQHpgUVXykAL6r4BQaveK/ao32QiWmOg9PBs5Isu1Ci1jDB4g==" saltValue="FixkOdsGp0d3ahFoz2tS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MEDINA DEL CAMPO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4</v>
      </c>
      <c r="F10" s="452">
        <f>IF(ISNUMBER(E10/B10),E10/B10," - ")</f>
        <v>4</v>
      </c>
      <c r="G10" s="451">
        <f>IF(ISNUMBER(Datos!K10),Datos!K10," - ")</f>
        <v>6</v>
      </c>
      <c r="H10" s="452">
        <f>IF(ISNUMBER(G10/B10),G10/B10," - ")</f>
        <v>6</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637</v>
      </c>
      <c r="D12" s="452">
        <f>IF(ISNUMBER(C12/Datos!BH12),C12/Datos!BH12," - ")</f>
        <v>212.33333333333334</v>
      </c>
      <c r="E12" s="451">
        <f>IF(ISNUMBER(IF(J_V="SI",Datos!J12,Datos!J12+Datos!Z12)),IF(J_V="SI",Datos!J12,Datos!J12+Datos!Z12)," - ")</f>
        <v>349</v>
      </c>
      <c r="F12" s="452">
        <f>IF(ISNUMBER(E12/B12),E12/B12," - ")</f>
        <v>116.33333333333333</v>
      </c>
      <c r="G12" s="451">
        <f>IF(ISNUMBER(IF(J_V="SI",Datos!K12,Datos!K12+Datos!AA12)),IF(J_V="SI",Datos!K12,Datos!K12+Datos!AA12)," - ")</f>
        <v>287</v>
      </c>
      <c r="H12" s="452">
        <f>IF(ISNUMBER(G12/B12),G12/B12," - ")</f>
        <v>95.666666666666671</v>
      </c>
      <c r="I12" s="451">
        <f>IF(ISNUMBER(IF(J_V="SI",Datos!L12,Datos!L12+Datos!AB12)),IF(J_V="SI",Datos!L12,Datos!L12+Datos!AB12)," - ")</f>
        <v>708</v>
      </c>
      <c r="J12" s="452">
        <f>IF(ISNUMBER(I12/B12),I12/B12," - ")</f>
        <v>236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644</v>
      </c>
      <c r="D14" s="1147" t="str">
        <f>IF(ISNUMBER(C14/Datos!BI14),C14/Datos!BI14," - ")</f>
        <v xml:space="preserve"> - </v>
      </c>
      <c r="E14" s="1146">
        <f>SUBTOTAL(9,E8:E13)</f>
        <v>353</v>
      </c>
      <c r="F14" s="1147">
        <f>IF(ISNUMBER(E14/B14),E14/B14," - ")</f>
        <v>117.66666666666667</v>
      </c>
      <c r="G14" s="1146">
        <f>SUBTOTAL(9,G8:G13)</f>
        <v>293</v>
      </c>
      <c r="H14" s="1147">
        <f>IF(ISNUMBER(G14/B14),G14/B14," - ")</f>
        <v>97.666666666666671</v>
      </c>
      <c r="I14" s="1146">
        <f>SUBTOTAL(9,I8:I13)</f>
        <v>713</v>
      </c>
      <c r="J14" s="1147">
        <f>IF(ISNUMBER(I14/B14),I14/B14," - ")</f>
        <v>237.66666666666666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421</v>
      </c>
      <c r="D17" s="452">
        <f>IF(ISNUMBER(C17/Datos!BH17),C17/Datos!BH17," - ")</f>
        <v>140.33333333333334</v>
      </c>
      <c r="E17" s="451">
        <f>IF(ISNUMBER(IF(D_I="SI",Datos!J17,Datos!J17+Datos!AD17)),IF(D_I="SI",Datos!J17,Datos!J17+Datos!AD17)," - ")</f>
        <v>504</v>
      </c>
      <c r="F17" s="452">
        <f>IF(ISNUMBER(E17/B17),E17/B17," - ")</f>
        <v>168</v>
      </c>
      <c r="G17" s="451">
        <f>IF(ISNUMBER(IF(D_I="SI",Datos!K17,Datos!K17+Datos!AE17)),IF(D_I="SI",Datos!K17,Datos!K17+Datos!AE17)," - ")</f>
        <v>372</v>
      </c>
      <c r="H17" s="452">
        <f>IF(ISNUMBER(G17/B17),G17/B17," - ")</f>
        <v>124</v>
      </c>
      <c r="I17" s="451">
        <f>IF(ISNUMBER(IF(D_I="SI",Datos!L17,Datos!L17+Datos!AF17)),IF(D_I="SI",Datos!L17,Datos!L17+Datos!AF17)," - ")</f>
        <v>596</v>
      </c>
      <c r="J17" s="452">
        <f>IF(ISNUMBER(I17/B17),I17/B17," - ")</f>
        <v>198.66666666666666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90</v>
      </c>
      <c r="D18" s="452">
        <f>IF(ISNUMBER(C18/Datos!BH18),C18/Datos!BH18," - ")</f>
        <v>90</v>
      </c>
      <c r="E18" s="451">
        <f>IF(ISNUMBER(IF(D_I="SI",Datos!J18,Datos!J18+Datos!AD18)),IF(D_I="SI",Datos!J18,Datos!J18+Datos!AD18)," - ")</f>
        <v>33</v>
      </c>
      <c r="F18" s="452">
        <f>IF(ISNUMBER(E18/B18),E18/B18," - ")</f>
        <v>33</v>
      </c>
      <c r="G18" s="451">
        <f>IF(ISNUMBER(IF(D_I="SI",Datos!K18,Datos!K18+Datos!AE18)),IF(D_I="SI",Datos!K18,Datos!K18+Datos!AE18)," - ")</f>
        <v>19</v>
      </c>
      <c r="H18" s="452">
        <f>IF(ISNUMBER(G18/B18),G18/B18," - ")</f>
        <v>19</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511</v>
      </c>
      <c r="D23" s="1147" t="str">
        <f>IF(ISNUMBER(C23/Datos!BI23),C23/Datos!BI23," - ")</f>
        <v xml:space="preserve"> - </v>
      </c>
      <c r="E23" s="1146">
        <f>SUBTOTAL(9,E15:E22)</f>
        <v>537</v>
      </c>
      <c r="F23" s="1147">
        <f>IF(ISNUMBER(E23/B23),E23/B23," - ")</f>
        <v>179</v>
      </c>
      <c r="G23" s="1146">
        <f>SUBTOTAL(9,G15:G22)</f>
        <v>391</v>
      </c>
      <c r="H23" s="1147">
        <f>IF(ISNUMBER(G23/B23),G23/B23," - ")</f>
        <v>130.33333333333334</v>
      </c>
      <c r="I23" s="1146">
        <f>SUBTOTAL(9,I15:I22)</f>
        <v>637</v>
      </c>
      <c r="J23" s="1147">
        <f>IF(ISNUMBER(I23/B23),I23/B23," - ")</f>
        <v>212.33333333333334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1155</v>
      </c>
      <c r="D31" s="1085" t="str">
        <f>IF(ISNUMBER(C31/Datos!BI31),C31/Datos!BI31," - ")</f>
        <v xml:space="preserve"> - </v>
      </c>
      <c r="E31" s="1084">
        <f>SUBTOTAL(9,E9:E30)</f>
        <v>890</v>
      </c>
      <c r="F31" s="1085">
        <f>IF(ISNUMBER(E31/B31),E31/B31," - ")</f>
        <v>296.66666666666669</v>
      </c>
      <c r="G31" s="1084">
        <f>SUBTOTAL(9,G9:G30)</f>
        <v>684</v>
      </c>
      <c r="H31" s="1085">
        <f>IF(ISNUMBER(G31/B31),G31/B31," - ")</f>
        <v>228</v>
      </c>
      <c r="I31" s="1084">
        <f>SUBTOTAL(9,I9:I30)</f>
        <v>1350</v>
      </c>
      <c r="J31" s="1085">
        <f>IF(ISNUMBER(I31/B31),I31/B31," - ")</f>
        <v>450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MDWnIUcV/DXSKgyhL13HetYF6q0ROVfLUza2+UzGHJ7TTIhZkrttoHHrKzl91DmPgb/17OLDWJSOBNnN0J8RQ==" saltValue="p+Z8q+p4YLkxfAhTnLvN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MEDINA DEL CAMPO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1.666666666666667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64</v>
      </c>
      <c r="AM12" s="914">
        <f>IF(ISNUMBER(Datos!N12+DatosP!N17),Datos!N12+DatosP!N17," - ")</f>
        <v>129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4.9337979094076658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-2.1739130434782608E-2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110</v>
      </c>
      <c r="AE14" s="1257">
        <f t="shared" si="1"/>
        <v>0</v>
      </c>
      <c r="AF14" s="1257">
        <f t="shared" si="1"/>
        <v>5</v>
      </c>
      <c r="AG14" s="1257">
        <f t="shared" si="1"/>
        <v>0</v>
      </c>
      <c r="AH14" s="1257">
        <f t="shared" si="1"/>
        <v>1620</v>
      </c>
      <c r="AI14" s="1257">
        <f t="shared" si="1"/>
        <v>0</v>
      </c>
      <c r="AJ14" s="1257">
        <f t="shared" si="1"/>
        <v>0</v>
      </c>
      <c r="AK14" s="1257">
        <f t="shared" si="1"/>
        <v>0</v>
      </c>
      <c r="AL14" s="1257">
        <f t="shared" si="1"/>
        <v>67</v>
      </c>
      <c r="AM14" s="1257">
        <f t="shared" si="1"/>
        <v>132</v>
      </c>
      <c r="AN14" s="1257">
        <f t="shared" si="1"/>
        <v>0</v>
      </c>
      <c r="AO14" s="1257">
        <f t="shared" si="1"/>
        <v>0</v>
      </c>
      <c r="AP14" s="1262">
        <f>IF(ISNUMBER(((Datos!L14/Datos!K14)*11)/factor_trimestre),((Datos!L14/Datos!K14)*11)/factor_trimestre," - ")</f>
        <v>5.0037453183520597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-0.8571428571428571</v>
      </c>
      <c r="AU14" s="1257" t="str">
        <f>IF(ISNUMBER((DatosP!#REF!-DatosP!#REF!+DatosP!#REF!)/(DatosP!#REF!+DatosP!#REF!-DatosP!#REF!-DatosP!#REF!)),(DatosP!#REF!-DatosP!#REF!+DatosP!#REF!)/(DatosP!#REF!+DatosP!#REF!-DatosP!#REF!-DatosP!#REF!)," - ")</f>
        <v xml:space="preserve"> - </v>
      </c>
      <c r="AV14" s="1263">
        <f>SUBTOTAL(9,AV9:AV13)</f>
        <v>-2.1739130434782608E-2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3.2583120204603584</v>
      </c>
      <c r="AQ23" s="1262">
        <f>IF(ISNUMBER(((Datos!M23/Datos!L23)*11)/factor_trimestre),((Datos!M23/Datos!L23)*11)/factor_trimestre," - ")</f>
        <v>0.13814756671899528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0.12121212121212122</v>
      </c>
      <c r="AW23" s="1265">
        <f>IF(ISNUMBER((Datos!Q23-Datos!R23)/(Datos!S23-Datos!Q23+Datos!R23)),(Datos!Q23-Datos!R23)/(Datos!S23-Datos!Q23+Datos!R23)," - ")</f>
        <v>-0.16844919786096257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110</v>
      </c>
      <c r="AE31" s="1284">
        <f t="shared" si="9"/>
        <v>0</v>
      </c>
      <c r="AF31" s="1285">
        <f t="shared" si="9"/>
        <v>5</v>
      </c>
      <c r="AG31" s="1285">
        <f t="shared" si="9"/>
        <v>0</v>
      </c>
      <c r="AH31" s="1285">
        <f t="shared" si="9"/>
        <v>1620</v>
      </c>
      <c r="AI31" s="1285">
        <f t="shared" si="9"/>
        <v>0</v>
      </c>
      <c r="AJ31" s="1286">
        <f t="shared" si="9"/>
        <v>0</v>
      </c>
      <c r="AK31" s="1286">
        <f t="shared" si="9"/>
        <v>0</v>
      </c>
      <c r="AL31" s="1278">
        <f t="shared" si="9"/>
        <v>67</v>
      </c>
      <c r="AM31" s="1278">
        <f t="shared" si="9"/>
        <v>132</v>
      </c>
      <c r="AN31" s="1278">
        <f t="shared" si="9"/>
        <v>0</v>
      </c>
      <c r="AO31" s="1278">
        <f t="shared" si="9"/>
        <v>0</v>
      </c>
      <c r="AP31" s="1278">
        <f>IF(ISNUMBER(((Datos!L31/Datos!K31)*11)/factor_trimestre),((Datos!L31/Datos!K31)*11)/factor_trimestre," - ")</f>
        <v>3.9665653495440734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-0.8571428571428571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-1.6705069124423964E-2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33.47038491960717</v>
      </c>
      <c r="AM33" s="1006"/>
      <c r="AN33" s="1006">
        <f>IF(ISNUMBER(STDEV(AN8:AN30)),STDEV(AN8:AN30),"-")</f>
        <v>0</v>
      </c>
      <c r="AO33" s="1012">
        <f>IF(ISNUMBER(STDEV(AO8:AO30)),STDEV(AO8:AO30),"-")</f>
        <v>0</v>
      </c>
      <c r="AP33" s="1065">
        <f>IF(ISNUMBER(STDEV(AP8:AP30)),STDEV(AP8:AP30),"-")</f>
        <v>1.5864598539555093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9ny8TWcqvgKTLglThBBJ33oYa5R9vmrgTSsk3fu1rRtmjh/VB4f7x69ov3LC4EMG7HNHKi2xR7IcH45r64h4w==" saltValue="p0n4he9itlfIbIFraiC2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MEDINA DEL CAMPO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L5tm7Ng1MHmXhoIVdZ6FSUsbIYB/OzXes6h1HucLf17Yrs0Lx2HawbogwJ08W6YVJgQI83YxKa11cqr8Gad1w==" saltValue="dehcremRn1uFgkwpY96f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MEDINA DEL CAMPO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64</v>
      </c>
      <c r="E12" s="452">
        <f t="shared" si="0"/>
        <v>21.333333333333332</v>
      </c>
      <c r="F12" s="451">
        <f>IF(ISNUMBER(Datos!N12),Datos!N12," - ")</f>
        <v>129</v>
      </c>
      <c r="G12" s="452">
        <f t="shared" si="1"/>
        <v>43</v>
      </c>
      <c r="H12" s="451">
        <f>IF(ISNUMBER(Datos!O12),Datos!O12," - ")</f>
        <v>146</v>
      </c>
      <c r="I12" s="452">
        <f t="shared" si="2"/>
        <v>48.666666666666664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67</v>
      </c>
      <c r="E14" s="1147">
        <f t="shared" si="0"/>
        <v>16.75</v>
      </c>
      <c r="F14" s="1146">
        <f>SUBTOTAL(9,F9:F13)</f>
        <v>132</v>
      </c>
      <c r="G14" s="1147">
        <f t="shared" si="1"/>
        <v>33</v>
      </c>
      <c r="H14" s="1146">
        <f>SUBTOTAL(9,H9:H13)</f>
        <v>147</v>
      </c>
      <c r="I14" s="1147">
        <f>IF(ISNUMBER(H14/B14),H14/B14," - ")</f>
        <v>36.75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44</v>
      </c>
      <c r="E17" s="452">
        <f t="shared" si="3"/>
        <v>14.666666666666666</v>
      </c>
      <c r="F17" s="451">
        <f>IF(ISNUMBER(Datos!N17),Datos!N17," - ")</f>
        <v>231</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44</v>
      </c>
      <c r="E23" s="1147">
        <f t="shared" si="3"/>
        <v>11</v>
      </c>
      <c r="F23" s="1146">
        <f>SUBTOTAL(9,F16:F22)</f>
        <v>260</v>
      </c>
      <c r="G23" s="1147">
        <f t="shared" si="4"/>
        <v>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111</v>
      </c>
      <c r="E31" s="1085">
        <f>IF(ISNUMBER(D31/B31),D31/B31," - ")</f>
        <v>37</v>
      </c>
      <c r="F31" s="1084">
        <f>SUBTOTAL(9,F8:F30)</f>
        <v>392</v>
      </c>
      <c r="G31" s="1085">
        <f>IF(ISNUMBER(F31/B31),F31/B31," - ")</f>
        <v>130.66666666666666</v>
      </c>
      <c r="H31" s="1084">
        <f>SUBTOTAL(9,H8:H30)</f>
        <v>147</v>
      </c>
      <c r="I31" s="1085">
        <f>IF(ISNUMBER(H31/B31),H31/B31," - ")</f>
        <v>49</v>
      </c>
    </row>
    <row r="34" spans="1:1">
      <c r="A34" s="439" t="str">
        <f>Criterios!A4</f>
        <v>Fecha Informe: 06 may. 2023</v>
      </c>
    </row>
    <row r="39" spans="1:1">
      <c r="A39" s="462"/>
    </row>
  </sheetData>
  <sheetProtection algorithmName="SHA-512" hashValue="Itn/YqRYH9aO7QsxMpBb7DNnn5Pn7hBNJa7cQSvfYjgmnhIuohbkL9w3BTfOYaCFhuVHTbO23J7MjxmSfMbG7A==" saltValue="09YvhJ9G5f8d9+GOh3K5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MEDINA DEL CAMPO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74</v>
      </c>
      <c r="C12" s="489">
        <f>IF(ISNUMBER(Datos!Q12),Datos!Q12," - ")</f>
        <v>110</v>
      </c>
      <c r="D12" s="456">
        <f>IF(ISNUMBER(Datos!R12),Datos!R12," - ")</f>
        <v>1620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v>
      </c>
      <c r="C14" s="1150">
        <f>SUBTOTAL(9,C9:C13)</f>
        <v>111</v>
      </c>
      <c r="D14" s="1148">
        <f>SUBTOTAL(9,D9:D13)</f>
        <v>1633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11</v>
      </c>
      <c r="D17" s="456">
        <f>IF(ISNUMBER(Datos!R17),Datos!R17," - ")</f>
        <v>74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11</v>
      </c>
      <c r="D23" s="1148">
        <f>SUBTOTAL(9,D16:D22)</f>
        <v>74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93</v>
      </c>
      <c r="C31" s="1089">
        <f>SUBTOTAL(9,C8:C30)</f>
        <v>122</v>
      </c>
      <c r="D31" s="1090">
        <f>SUBTOTAL(9,D8:D30)</f>
        <v>1707</v>
      </c>
    </row>
    <row r="32" spans="1:4" ht="7.5" customHeight="1"/>
    <row r="33" spans="1:1" ht="6" customHeight="1"/>
    <row r="34" spans="1:1">
      <c r="A34" s="439" t="str">
        <f>Criterios!A4</f>
        <v>Fecha Informe: 06 may. 2023</v>
      </c>
    </row>
    <row r="39" spans="1:1">
      <c r="A39" s="462"/>
    </row>
  </sheetData>
  <sheetProtection algorithmName="SHA-512" hashValue="ok3Z3GYZjeo+xSz9UaqFTBN671zBXsl0Y0MRmrm4Pk5xpCyh5Lg6Jr+Y08t/Pe7Q/8kdYHTLMsmPKMBmURFo4A==" saltValue="1wcm+/5n/cjfjCv6m3Ve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MEDINA DEL CAMPO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1.3333333333333333</v>
      </c>
      <c r="C10" s="515">
        <f>IF(ISNUMBER((Datos!J10-Datos!T10)/Datos!T10),(Datos!J10-Datos!T10)/Datos!T10," - ")</f>
        <v>-0.33333333333333331</v>
      </c>
      <c r="D10" s="515">
        <f>IF(ISNUMBER((Datos!K10-Datos!U10)/Datos!U10),(Datos!K10-Datos!U10)/Datos!U10," - ")</f>
        <v>2</v>
      </c>
      <c r="E10" s="515">
        <f>IF(ISNUMBER((Datos!L10-Datos!V10)/Datos!V10),(Datos!L10-Datos!V10)/Datos!V10," - ")</f>
        <v>-0.2857142857142857</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3.5000000000000004</v>
      </c>
      <c r="I10" s="515">
        <f>IF(ISNUMBER(((NºAsuntos!I10/NºAsuntos!G10)-Datos!BE10)/Datos!BE10),((NºAsuntos!I10/NºAsuntos!G10)-Datos!BE10)/Datos!BE10," - ")</f>
        <v>-0.76190476190476186</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-0.59259259259259267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9.8275862068965519E-2</v>
      </c>
      <c r="C12" s="515">
        <f>IF(ISNUMBER(
   IF(J_V="SI",(Datos!J12-Datos!T12)/Datos!T12,(Datos!J12+Datos!Z12-(Datos!T12+Datos!AH12))/(Datos!T12+Datos!AH12))
     ),IF(J_V="SI",(Datos!J12-Datos!T12)/Datos!T12,(Datos!J12+Datos!Z12-(Datos!T12+Datos!AH12))/(Datos!T12+Datos!AH12))," - ")</f>
        <v>5.763688760806916E-3</v>
      </c>
      <c r="D12" s="515">
        <f>IF(ISNUMBER(
   IF(J_V="SI",(Datos!K12-Datos!U12)/Datos!U12,(Datos!K12+Datos!AA12-(Datos!U12+Datos!AI12))/(Datos!U12+Datos!AI12))
     ),IF(J_V="SI",(Datos!K12-Datos!U12)/Datos!U12,(Datos!K12+Datos!AA12-(Datos!U12+Datos!AI12))/(Datos!U12+Datos!AI12))," - ")</f>
        <v>-0.14583333333333334</v>
      </c>
      <c r="E12" s="515">
        <f>IF(ISNUMBER(
   IF(J_V="SI",(Datos!L12-Datos!V12)/Datos!V12,(Datos!L12+Datos!AB12-(Datos!V12+Datos!AJ12))/(Datos!V12+Datos!AJ12))
     ),IF(J_V="SI",(Datos!L12-Datos!V12)/Datos!V12,(Datos!L12+Datos!AB12-(Datos!V12+Datos!AJ12))/(Datos!V12+Datos!AJ12))," - ")</f>
        <v>0.19594594594594594</v>
      </c>
      <c r="F12" s="515">
        <f>IF(ISNUMBER((Datos!M12-Datos!W12)/Datos!W12),(Datos!M12-Datos!W12)/Datos!W12," - ")</f>
        <v>-0.4336283185840708</v>
      </c>
      <c r="G12" s="516">
        <f>IF(ISNUMBER((Datos!N12-Datos!X12)/Datos!X12),(Datos!N12-Datos!X12)/Datos!X12," - ")</f>
        <v>5.737704918032787E-2</v>
      </c>
      <c r="H12" s="514">
        <f>IF(ISNUMBER(((NºAsuntos!G12/NºAsuntos!E12)-Datos!BD12)/Datos!BD12),((NºAsuntos!G12/NºAsuntos!E12)-Datos!BD12)/Datos!BD12," - ")</f>
        <v>-0.15072827125119387</v>
      </c>
      <c r="I12" s="515">
        <f>IF(ISNUMBER(((NºAsuntos!I12/NºAsuntos!G12)-Datos!BE12)/Datos!BE12),((NºAsuntos!I12/NºAsuntos!G12)-Datos!BE12)/Datos!BE12," - ")</f>
        <v>0.40013183915622952</v>
      </c>
      <c r="J12" s="521">
        <f>IF(ISNUMBER((('Resol  Asuntos'!D12/NºAsuntos!G12)-Datos!BF12)/Datos!BF12),(('Resol  Asuntos'!D12/NºAsuntos!G12)-Datos!BF12)/Datos!BF12," - ")</f>
        <v>-0.38584566173530588</v>
      </c>
      <c r="K12" s="522">
        <f>IF(ISNUMBER((((NºAsuntos!C12+NºAsuntos!E12)/NºAsuntos!G12)-Datos!BG12)/Datos!BG12),(((NºAsuntos!C12+NºAsuntos!E12)/NºAsuntos!G12)-Datos!BG12)/Datos!BG12," - ")</f>
        <v>0.2452442971031652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0.10463121783876501</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-0.13313609467455623</v>
      </c>
      <c r="E14" s="1152">
        <f>IF(ISNUMBER(
   IF(J_V="SI",(Datos!L14-Datos!V14)/Datos!V14,(Datos!L14+Datos!AB14-(Datos!V14+Datos!AJ14))/(Datos!V14+Datos!AJ14))
     ),IF(J_V="SI",(Datos!L14-Datos!V14)/Datos!V14,(Datos!L14+Datos!AB14-(Datos!V14+Datos!AJ14))/(Datos!V14+Datos!AJ14))," - ")</f>
        <v>0.19031719532554256</v>
      </c>
      <c r="F14" s="1153">
        <f>IF(ISNUMBER((Datos!M14-Datos!W14)/Datos!W14),(Datos!M14-Datos!W14)/Datos!W14," - ")</f>
        <v>-0.40707964601769914</v>
      </c>
      <c r="G14" s="1154">
        <f>IF(ISNUMBER((Datos!N14-Datos!X14)/Datos!X14),(Datos!N14-Datos!X14)/Datos!X14," - ")</f>
        <v>8.1967213114754092E-2</v>
      </c>
      <c r="H14" s="1154">
        <f>IF(ISNUMBER(((NºAsuntos!G14/NºAsuntos!E14)-Datos!BD14)/Datos!BD14),((NºAsuntos!G14/NºAsuntos!E14)-Datos!BD14)/Datos!BD14," - ")</f>
        <v>-0.13313609467455623</v>
      </c>
      <c r="I14" s="1154">
        <f>IF(ISNUMBER(((NºAsuntos!I14/NºAsuntos!G14)-Datos!BE14)/Datos!BE14),((NºAsuntos!I14/NºAsuntos!G14)-Datos!BE14)/Datos!BE14," - ")</f>
        <v>0.37313041645062583</v>
      </c>
      <c r="J14" s="1154">
        <f>IF(ISNUMBER((('Resol  Asuntos'!D14/NºAsuntos!G14)-Datos!BF14)/Datos!BF14),(('Resol  Asuntos'!D14/NºAsuntos!G14)-Datos!BF14)/Datos!BF14," - ")</f>
        <v>-0.36647457058132382</v>
      </c>
      <c r="K14" s="1154">
        <f>IF(ISNUMBER((((NºAsuntos!C14+NºAsuntos!E14)/NºAsuntos!G14)-Datos!BG14)/Datos!BG14),(((NºAsuntos!C14+NºAsuntos!E14)/NºAsuntos!G14)-Datos!BG14)/Datos!BG14," - ")</f>
        <v>0.22876374668183552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0.52536231884057971</v>
      </c>
      <c r="C17" s="515">
        <f>IF(ISNUMBER(
   IF(D_I="SI",(Datos!J17-Datos!T17)/Datos!T17,(Datos!J17+Datos!AD17-(Datos!T17+Datos!AL17))/(Datos!T17+Datos!AL17))
     ),IF(D_I="SI",(Datos!J17-Datos!T17)/Datos!T17,(Datos!J17+Datos!AD17-(Datos!T17+Datos!AL17))/(Datos!T17+Datos!AL17))," - ")</f>
        <v>0.18032786885245902</v>
      </c>
      <c r="D17" s="515">
        <f>IF(ISNUMBER(
   IF(D_I="SI",(Datos!K17-Datos!U17)/Datos!U17,(Datos!K17+Datos!AE17-(Datos!U17+Datos!AM17))/(Datos!U17+Datos!AM17))
     ),IF(D_I="SI",(Datos!K17-Datos!U17)/Datos!U17,(Datos!K17+Datos!AE17-(Datos!U17+Datos!AM17))/(Datos!U17+Datos!AM17))," - ")</f>
        <v>-7.0000000000000007E-2</v>
      </c>
      <c r="E17" s="515">
        <f>IF(ISNUMBER(
   IF(D_I="SI",(Datos!L17-Datos!V17)/Datos!V17,(Datos!L17+Datos!AF17-(Datos!V17+Datos!AN17))/(Datos!V17+Datos!AN17))
     ),IF(D_I="SI",(Datos!L17-Datos!V17)/Datos!V17,(Datos!L17+Datos!AF17-(Datos!V17+Datos!AN17))/(Datos!V17+Datos!AN17))," - ")</f>
        <v>0.96052631578947367</v>
      </c>
      <c r="F17" s="515">
        <f>IF(ISNUMBER((Datos!M17-Datos!W17)/Datos!W17),(Datos!M17-Datos!W17)/Datos!W17," - ")</f>
        <v>-0.26666666666666666</v>
      </c>
      <c r="G17" s="516">
        <f>IF(ISNUMBER((Datos!N17-Datos!X17)/Datos!X17),(Datos!N17-Datos!X17)/Datos!X17," - ")</f>
        <v>-9.765625E-2</v>
      </c>
      <c r="H17" s="514">
        <f>IF(ISNUMBER(((NºAsuntos!G17/NºAsuntos!E17)-Datos!BD17)/Datos!BD17),((NºAsuntos!G17/NºAsuntos!E17)-Datos!BD17)/Datos!BD17," - ")</f>
        <v>-0.21208333333333332</v>
      </c>
      <c r="I17" s="515">
        <f>IF(ISNUMBER(((NºAsuntos!I17/NºAsuntos!G17)-Datos!BE17)/Datos!BE17),((NºAsuntos!I17/NºAsuntos!G17)-Datos!BE17)/Datos!BE17," - ")</f>
        <v>1.1080928126768532</v>
      </c>
      <c r="J17" s="521">
        <f>IF(ISNUMBER((('Resol  Asuntos'!D17/NºAsuntos!G17)-Datos!BF17)/Datos!BF17),(('Resol  Asuntos'!D17/NºAsuntos!G17)-Datos!BF17)/Datos!BF17," - ")</f>
        <v>-0.21146953405017915</v>
      </c>
      <c r="K17" s="522">
        <f>IF(ISNUMBER((((NºAsuntos!C17+NºAsuntos!E17)/NºAsuntos!G17)-Datos!BG17)/Datos!BG17),(((NºAsuntos!C17+NºAsuntos!E17)/NºAsuntos!G17)-Datos!BG17)/Datos!BG17," - ")</f>
        <v>0.4148273910582907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1.5714285714285714</v>
      </c>
      <c r="C18" s="515">
        <f>IF(ISNUMBER(
   IF(D_I="SI",(Datos!J18-Datos!T18)/Datos!T18,(Datos!J18+Datos!AD18-(Datos!T18+Datos!AL18))/(Datos!T18+Datos!AL18))
     ),IF(D_I="SI",(Datos!J18-Datos!T18)/Datos!T18,(Datos!J18+Datos!AD18-(Datos!T18+Datos!AL18))/(Datos!T18+Datos!AL18))," - ")</f>
        <v>-0.15384615384615385</v>
      </c>
      <c r="D18" s="515">
        <f>IF(ISNUMBER(
   IF(D_I="SI",(Datos!K18-Datos!U18)/Datos!U18,(Datos!K18+Datos!AE18-(Datos!U18+Datos!AM18))/(Datos!U18+Datos!AM18))
     ),IF(D_I="SI",(Datos!K18-Datos!U18)/Datos!U18,(Datos!K18+Datos!AE18-(Datos!U18+Datos!AM18))/(Datos!U18+Datos!AM18))," - ")</f>
        <v>-0.34482758620689657</v>
      </c>
      <c r="E18" s="515">
        <f>IF(ISNUMBER(
   IF(D_I="SI",(Datos!L18-Datos!V18)/Datos!V18,(Datos!L18+Datos!AF18-(Datos!V18+Datos!AN18))/(Datos!V18+Datos!AN18))
     ),IF(D_I="SI",(Datos!L18-Datos!V18)/Datos!V18,(Datos!L18+Datos!AF18-(Datos!V18+Datos!AN18))/(Datos!V18+Datos!AN18))," - ")</f>
        <v>-8.8888888888888892E-2</v>
      </c>
      <c r="F18" s="515" t="str">
        <f>IF(ISNUMBER((Datos!M18-Datos!W18)/Datos!W18),(Datos!M18-Datos!W18)/Datos!W18," - ")</f>
        <v xml:space="preserve"> - </v>
      </c>
      <c r="G18" s="516">
        <f>IF(ISNUMBER((Datos!N18-Datos!X18)/Datos!X18),(Datos!N18-Datos!X18)/Datos!X18," - ")</f>
        <v>0.2608695652173913</v>
      </c>
      <c r="H18" s="514">
        <f>IF(ISNUMBER(((NºAsuntos!G18/NºAsuntos!E18)-Datos!BD18)/Datos!BD18),((NºAsuntos!G18/NºAsuntos!E18)-Datos!BD18)/Datos!BD18," - ")</f>
        <v>-0.22570532915360497</v>
      </c>
      <c r="I18" s="515">
        <f>IF(ISNUMBER(((NºAsuntos!I18/NºAsuntos!G18)-Datos!BE18)/Datos!BE18),((NºAsuntos!I18/NºAsuntos!G18)-Datos!BE18)/Datos!BE18," - ")</f>
        <v>0.39064327485380118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1.5369843527738263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0.64308681672025725</v>
      </c>
      <c r="C23" s="1152">
        <f>IF(ISNUMBER(
   IF(Criterios!B14="SI",(Datos!J23-Datos!T23)/Datos!T23,(Datos!J23+Datos!AD23-(Datos!T23+Datos!AL23))/(Datos!T23+Datos!AL23))
     ),IF(Criterios!B14="SI",(Datos!J23-Datos!T23)/Datos!T23,(Datos!J23+Datos!AD23-(Datos!T23+Datos!AL23))/(Datos!T23+Datos!AL23))," - ")</f>
        <v>0.15236051502145923</v>
      </c>
      <c r="D23" s="1152">
        <f>IF(ISNUMBER(
   IF(Criterios!B14="SI",(Datos!K23-Datos!U23)/Datos!U23,(Datos!K23+Datos!AE23-(Datos!U23+Datos!AM23))/(Datos!U23+Datos!AM23))
     ),IF(Criterios!B14="SI",(Datos!K23-Datos!U23)/Datos!U23,(Datos!K23+Datos!AE23-(Datos!U23+Datos!AM23))/(Datos!U23+Datos!AM23))," - ")</f>
        <v>-8.8578088578088576E-2</v>
      </c>
      <c r="E23" s="1152">
        <f>IF(ISNUMBER(
   IF(Criterios!B14="SI",(Datos!L23-Datos!V23)/Datos!V23,(Datos!L23+Datos!AF23-(Datos!V23+Datos!AN23))/(Datos!V23+Datos!AN23))
     ),IF(Criterios!B14="SI",(Datos!L23-Datos!V23)/Datos!V23,(Datos!L23+Datos!AF23-(Datos!V23+Datos!AN23))/(Datos!V23+Datos!AN23))," - ")</f>
        <v>0.82521489971346706</v>
      </c>
      <c r="F23" s="1153">
        <f>IF(ISNUMBER((Datos!M23-Datos!W23)/Datos!W23),(Datos!M23-Datos!W23)/Datos!W23," - ")</f>
        <v>-0.26666666666666666</v>
      </c>
      <c r="G23" s="1154">
        <f>IF(ISNUMBER((Datos!N23-Datos!X23)/Datos!X23),(Datos!N23-Datos!X23)/Datos!X23," - ")</f>
        <v>-6.8100358422939072E-2</v>
      </c>
      <c r="H23" s="1154">
        <f>IF(ISNUMBER(((NºAsuntos!G23/NºAsuntos!E23)-Datos!BD23)/Datos!BD23),((NºAsuntos!G23/NºAsuntos!E23)-Datos!BD23)/Datos!BD23," - ")</f>
        <v>-0.20908266159662808</v>
      </c>
      <c r="I23" s="1154">
        <f>IF(ISNUMBER(((NºAsuntos!I23/NºAsuntos!G23)-Datos!BE23)/Datos!BE23),((NºAsuntos!I23/NºAsuntos!G23)-Datos!BE23)/Datos!BE23," - ")</f>
        <v>1.0026015140078706</v>
      </c>
      <c r="J23" s="1154">
        <f>IF(ISNUMBER((('Resol  Asuntos'!D23/NºAsuntos!G23)-Datos!BF23)/Datos!BF23),(('Resol  Asuntos'!D23/NºAsuntos!G23)-Datos!BF23)/Datos!BF23," - ")</f>
        <v>-0.19539641943734026</v>
      </c>
      <c r="K23" s="1154">
        <f>IF(ISNUMBER((((NºAsuntos!C23+NºAsuntos!E23)/NºAsuntos!G23)-Datos!BG23)/Datos!BG23),(((NºAsuntos!C23+NºAsuntos!E23)/NºAsuntos!G23)-Datos!BG23)/Datos!BG23," - ")</f>
        <v>0.47986056937463578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0.29194630872483224</v>
      </c>
      <c r="C31" s="1092">
        <f>IF(ISNUMBER(
   IF(J_V="SI",(Datos!J31-Datos!T31)/Datos!T31,(Datos!J31+Datos!Z31-(Datos!T31+Datos!AH31))/(Datos!T31+Datos!AH31))
     ),IF(J_V="SI",(Datos!J31-Datos!T31)/Datos!T31,(Datos!J31+Datos!Z31-(Datos!T31+Datos!AH31))/(Datos!T31+Datos!AH31))," - ")</f>
        <v>8.6691086691086688E-2</v>
      </c>
      <c r="D31" s="1092">
        <f>IF(ISNUMBER(
   IF(J_V="SI",(Datos!K31-Datos!U31)/Datos!U31,(Datos!K31+Datos!AA31-(Datos!U31+Datos!AI31))/(Datos!U31+Datos!AI31))
     ),IF(J_V="SI",(Datos!K31-Datos!U31)/Datos!U31,(Datos!K31+Datos!AA31-(Datos!U31+Datos!AI31))/(Datos!U31+Datos!AI31))," - ")</f>
        <v>-0.10821382007822686</v>
      </c>
      <c r="E31" s="1092">
        <f>IF(ISNUMBER(
   IF(J_V="SI",(Datos!L31-Datos!V31)/Datos!V31,(Datos!L31+Datos!AB31-(Datos!V31+Datos!AJ31))/(Datos!V31+Datos!AJ31))
     ),IF(J_V="SI",(Datos!L31-Datos!V31)/Datos!V31,(Datos!L31+Datos!AB31-(Datos!V31+Datos!AJ31))/(Datos!V31+Datos!AJ31))," - ")</f>
        <v>0.42405063291139239</v>
      </c>
      <c r="F31" s="1093">
        <f>IF(ISNUMBER((Datos!M31-Datos!W31)/Datos!W31),(Datos!M31-Datos!W31)/Datos!W31," - ")</f>
        <v>-0.3583815028901734</v>
      </c>
      <c r="G31" s="1094">
        <f>IF(ISNUMBER((Datos!N31-Datos!X31)/Datos!X31),(Datos!N31-Datos!X31)/Datos!X31," - ")</f>
        <v>-2.2443890274314215E-2</v>
      </c>
      <c r="H31" s="1095">
        <f>IF(ISNUMBER((Tasas!B31-Datos!BD31)/Datos!BD31),(Tasas!B31-Datos!BD31)/Datos!BD31," - ")</f>
        <v>-0.17935631308322231</v>
      </c>
      <c r="I31" s="1096">
        <f>IF(ISNUMBER((Tasas!C31-Datos!BE31)/Datos!BE31),(Tasas!C31-Datos!BE31)/Datos!BE31," - ")</f>
        <v>0.59685209860093269</v>
      </c>
      <c r="J31" s="1097">
        <f>IF(ISNUMBER((Tasas!D31-Datos!BF31)/Datos!BF31),(Tasas!D31-Datos!BF31)/Datos!BF31," - ")</f>
        <v>-0.31610275689223055</v>
      </c>
      <c r="K31" s="1097">
        <f>IF(ISNUMBER((Tasas!E31-Datos!BG31)/Datos!BG31),(Tasas!E31-Datos!BG31)/Datos!BG31," - ")</f>
        <v>0.33867518084957499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FlnwhyEuRxcBwqL7o0FaZBoBM4SU8DF810flSTD2K2Re1KCkIu8Hfoko410MWNO7uYl8vmTYY2P0F6J/ZdheQ==" saltValue="EdESAbbbVEqDW5MBsni3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MEDINA DEL CAMPO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0.83333333333333337</v>
      </c>
      <c r="D10" s="499">
        <f>IF(ISNUMBER('Resol  Asuntos'!D10/NºAsuntos!G10),'Resol  Asuntos'!D10/NºAsuntos!G10," - ")</f>
        <v>0.5</v>
      </c>
      <c r="E10" s="500">
        <f>IF(ISNUMBER((NºAsuntos!C10+NºAsuntos!E10)/NºAsuntos!G10),(NºAsuntos!C10+NºAsuntos!E10)/NºAsuntos!G10," - ")</f>
        <v>1.8333333333333333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0.82234957020057309</v>
      </c>
      <c r="C12" s="498">
        <f>IF(ISNUMBER(NºAsuntos!I12/NºAsuntos!G12),NºAsuntos!I12/NºAsuntos!G12," - ")</f>
        <v>2.4668989547038329</v>
      </c>
      <c r="D12" s="499">
        <f>IF(ISNUMBER('Resol  Asuntos'!D12/NºAsuntos!G12),'Resol  Asuntos'!D12/NºAsuntos!G12," - ")</f>
        <v>0.22299651567944251</v>
      </c>
      <c r="E12" s="500">
        <f>IF(ISNUMBER((NºAsuntos!C12+NºAsuntos!E12)/NºAsuntos!G12),(NºAsuntos!C12+NºAsuntos!E12)/NºAsuntos!G12," - ")</f>
        <v>3.4355400696864113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0.83002832861189801</v>
      </c>
      <c r="C14" s="1156">
        <f>IF(ISNUMBER(NºAsuntos!I14/NºAsuntos!G14),NºAsuntos!I14/NºAsuntos!G14," - ")</f>
        <v>2.4334470989761092</v>
      </c>
      <c r="D14" s="1157">
        <f>IF(ISNUMBER('Resol  Asuntos'!D14/NºAsuntos!G14),'Resol  Asuntos'!D14/NºAsuntos!G14," - ")</f>
        <v>0.22866894197952217</v>
      </c>
      <c r="E14" s="1158">
        <f>IF(ISNUMBER((NºAsuntos!C14+NºAsuntos!E14)/NºAsuntos!G14),(NºAsuntos!C14+NºAsuntos!E14)/NºAsuntos!G14," - ")</f>
        <v>3.4027303754266214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0.73809523809523814</v>
      </c>
      <c r="C17" s="498">
        <f>IF(ISNUMBER(NºAsuntos!I17/NºAsuntos!G17),NºAsuntos!I17/NºAsuntos!G17," - ")</f>
        <v>1.6021505376344085</v>
      </c>
      <c r="D17" s="499">
        <f>IF(ISNUMBER('Resol  Asuntos'!D17/NºAsuntos!G17),'Resol  Asuntos'!D17/NºAsuntos!G17," - ")</f>
        <v>0.11827956989247312</v>
      </c>
      <c r="E17" s="500">
        <f>IF(ISNUMBER((NºAsuntos!C17+NºAsuntos!E17)/NºAsuntos!G17),(NºAsuntos!C17+NºAsuntos!E17)/NºAsuntos!G17," - ")</f>
        <v>2.486559139784946</v>
      </c>
      <c r="G17" s="523"/>
    </row>
    <row r="18" spans="1:7">
      <c r="A18" s="450" t="str">
        <f>Datos!A18</f>
        <v>Jdos. Violencia contra la mujer</v>
      </c>
      <c r="B18" s="497">
        <f>IF(ISNUMBER(NºAsuntos!G18/NºAsuntos!E18),NºAsuntos!G18/NºAsuntos!E18," - ")</f>
        <v>0.5757575757575758</v>
      </c>
      <c r="C18" s="498">
        <f>IF(ISNUMBER(NºAsuntos!I18/NºAsuntos!G18),NºAsuntos!I18/NºAsuntos!G18," - ")</f>
        <v>2.1578947368421053</v>
      </c>
      <c r="D18" s="499">
        <f>IF(ISNUMBER('Resol  Asuntos'!D18/NºAsuntos!G18),'Resol  Asuntos'!D18/NºAsuntos!G18," - ")</f>
        <v>0</v>
      </c>
      <c r="E18" s="500">
        <f>IF(ISNUMBER((NºAsuntos!C18+NºAsuntos!E18)/NºAsuntos!G18),(NºAsuntos!C18+NºAsuntos!E18)/NºAsuntos!G18," - ")</f>
        <v>6.4736842105263159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0.72811918063314707</v>
      </c>
      <c r="C23" s="1156">
        <f>IF(ISNUMBER(NºAsuntos!I23/NºAsuntos!G23),NºAsuntos!I23/NºAsuntos!G23," - ")</f>
        <v>1.629156010230179</v>
      </c>
      <c r="D23" s="1159">
        <f>IF(ISNUMBER('Resol  Asuntos'!D23/NºAsuntos!G23),'Resol  Asuntos'!D23/NºAsuntos!G23," - ")</f>
        <v>0.11253196930946291</v>
      </c>
      <c r="E23" s="1158">
        <f>IF(ISNUMBER((NºAsuntos!C23+NºAsuntos!E23)/NºAsuntos!G23),(NºAsuntos!C23+NºAsuntos!E23)/NºAsuntos!G23," - ")</f>
        <v>2.6803069053708439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0.76853932584269657</v>
      </c>
      <c r="C31" s="1099">
        <f>IF(ISNUMBER(NºAsuntos!I31/NºAsuntos!G31),NºAsuntos!I31/NºAsuntos!G31," - ")</f>
        <v>1.9736842105263157</v>
      </c>
      <c r="D31" s="1100">
        <f>IF(ISNUMBER('Resol  Asuntos'!D31/NºAsuntos!G31),'Resol  Asuntos'!D31/NºAsuntos!G31," - ")</f>
        <v>0.16228070175438597</v>
      </c>
      <c r="E31" s="1101">
        <f>IF(ISNUMBER((NºAsuntos!C31+NºAsuntos!E31)/NºAsuntos!G31),(NºAsuntos!C31+NºAsuntos!E31)/NºAsuntos!G31," - ")</f>
        <v>2.9897660818713452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GTjLL5ziMChCXraNnU2JhAPQZzY82WKK8sZNJZ2cmQU4TEGBURRFMnEHGqAXyp+d9/YGy0NvpoWY6q2YjR/dw==" saltValue="xZTjtJE/DDLUyVtrXc9XA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MEDINA DEL CAMPO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5</v>
      </c>
      <c r="AB10" s="374">
        <f>IF(ISNUMBER(Datos!R10),Datos!R10," - ")</f>
        <v>13</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1.666666666666667</v>
      </c>
      <c r="AN10" s="267">
        <f>IF(ISNUMBER('Resol  Asuntos'!D10/NºAsuntos!G10),'Resol  Asuntos'!D10/NºAsuntos!G10," - ")</f>
        <v>0.5</v>
      </c>
      <c r="AO10" s="268">
        <f>IF(ISNUMBER((NºAsuntos!C10+NºAsuntos!E10)/NºAsuntos!G10),(NºAsuntos!C10+NºAsuntos!E10)/NºAsuntos!G10," - ")</f>
        <v>1.8333333333333333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v>
      </c>
      <c r="Y12" s="374">
        <f t="shared" si="0"/>
        <v>110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64</v>
      </c>
      <c r="AJ12" s="243" t="str">
        <f>IF(ISNUMBER(Datos!BW12),Datos!BW12," - ")</f>
        <v xml:space="preserve"> - </v>
      </c>
      <c r="AK12" s="242" t="str">
        <f>IF(ISNUMBER(Datos!BX12),Datos!BX12," - ")</f>
        <v xml:space="preserve"> - </v>
      </c>
      <c r="AL12" s="266">
        <f>IF(ISNUMBER(NºAsuntos!G12/NºAsuntos!E12),NºAsuntos!G12/NºAsuntos!E12," - ")</f>
        <v>0.82234957020057309</v>
      </c>
      <c r="AM12" s="284">
        <f>IF(ISNUMBER(((NºAsuntos!I12/NºAsuntos!G12)*11)/factor_trimestre),((NºAsuntos!I12/NºAsuntos!G12)*11)/factor_trimestre," - ")</f>
        <v>4.9337979094076658</v>
      </c>
      <c r="AN12" s="267">
        <f>IF(ISNUMBER('Resol  Asuntos'!D12/NºAsuntos!G12),'Resol  Asuntos'!D12/NºAsuntos!G12," - ")</f>
        <v>0.22299651567944251</v>
      </c>
      <c r="AO12" s="268">
        <f>IF(ISNUMBER((NºAsuntos!C12+NºAsuntos!E12)/NºAsuntos!G12),(NºAsuntos!C12+NºAsuntos!E12)/NºAsuntos!G12," - ")</f>
        <v>3.4355400696864113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7</v>
      </c>
      <c r="G14" s="1163">
        <f t="shared" si="5"/>
        <v>7</v>
      </c>
      <c r="H14" s="1162">
        <f t="shared" si="5"/>
        <v>0</v>
      </c>
      <c r="I14" s="1164">
        <f t="shared" si="5"/>
        <v>0</v>
      </c>
      <c r="J14" s="1164">
        <f t="shared" si="5"/>
        <v>0</v>
      </c>
      <c r="K14" s="1164">
        <f t="shared" si="5"/>
        <v>0</v>
      </c>
      <c r="L14" s="1164">
        <f t="shared" si="5"/>
        <v>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111</v>
      </c>
      <c r="Y14" s="1165">
        <f t="shared" si="6"/>
        <v>117</v>
      </c>
      <c r="Z14" s="1165">
        <f t="shared" si="6"/>
        <v>0</v>
      </c>
      <c r="AA14" s="1165">
        <f t="shared" si="6"/>
        <v>5</v>
      </c>
      <c r="AB14" s="1165">
        <f t="shared" si="6"/>
        <v>1633</v>
      </c>
      <c r="AC14" s="1165">
        <f t="shared" si="6"/>
        <v>18</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0.83002832861189801</v>
      </c>
      <c r="AM14" s="1171">
        <f>IF(ISNUMBER(((NºAsuntos!I14/NºAsuntos!G14)*11)/factor_trimestre),((NºAsuntos!I14/NºAsuntos!G14)*11)/factor_trimestre," - ")</f>
        <v>4.8668941979522184</v>
      </c>
      <c r="AN14" s="1172">
        <f>IF(ISNUMBER('Resol  Asuntos'!D14/NºAsuntos!G14),'Resol  Asuntos'!D14/NºAsuntos!G14," - ")</f>
        <v>0.22866894197952217</v>
      </c>
      <c r="AO14" s="1173">
        <f>IF(ISNUMBER((NºAsuntos!C14+NºAsuntos!E14)/NºAsuntos!G14),(NºAsuntos!C14+NºAsuntos!E14)/NºAsuntos!G14," - ")</f>
        <v>3.4027303754266214</v>
      </c>
      <c r="AP14" s="1174" t="str">
        <f t="shared" si="2"/>
        <v xml:space="preserve"> - </v>
      </c>
      <c r="AQ14" s="1174">
        <f>IF(ISNUMBER((H14-W14+K14)/(F14)),(H14-W14+K14)/(F14)," - ")</f>
        <v>-0.8571428571428571</v>
      </c>
      <c r="AR14" s="1175">
        <f>IF(ISNUMBER((Datos!P14-Datos!Q14)/(Datos!R14-Datos!P14+Datos!Q14)),(Datos!P14-Datos!Q14)/(Datos!R14-Datos!P14+Datos!Q14)," - ")</f>
        <v>-2.215568862275449E-2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464</v>
      </c>
      <c r="G17" s="373">
        <f>IF(ISNUMBER(IF(D_I="SI",Datos!I17,Datos!I17+Datos!AC17)),IF(D_I="SI",Datos!I17,Datos!I17+Datos!AC17)," - ")</f>
        <v>421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372</v>
      </c>
      <c r="X17" s="240">
        <f>IF(ISNUMBER(Datos!Q17),Datos!Q17," - ")</f>
        <v>11</v>
      </c>
      <c r="Y17" s="374">
        <f t="shared" ref="Y17:Y22" si="9">SUM(W17:X17)</f>
        <v>383</v>
      </c>
      <c r="Z17" s="375" t="str">
        <f>IF(ISNUMBER(Datos!CC17),Datos!CC17," - ")</f>
        <v xml:space="preserve"> - </v>
      </c>
      <c r="AA17" s="372">
        <f>IF(ISNUMBER(IF(D_I="SI",Datos!L17,Datos!L17+Datos!AF17)),IF(D_I="SI",Datos!L17,Datos!L17+Datos!AF17)," - ")</f>
        <v>596</v>
      </c>
      <c r="AB17" s="374">
        <f>IF(ISNUMBER(Datos!R17),Datos!R17," - ")</f>
        <v>74</v>
      </c>
      <c r="AC17" s="374">
        <f t="shared" si="8"/>
        <v>670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0.73809523809523814</v>
      </c>
      <c r="AM17" s="284">
        <f>IF(ISNUMBER(((NºAsuntos!I17/NºAsuntos!G17)*11)/factor_trimestre),((NºAsuntos!I17/NºAsuntos!G17)*11)/factor_trimestre," - ")</f>
        <v>3.2043010752688166</v>
      </c>
      <c r="AN17" s="267">
        <f>IF(ISNUMBER('Resol  Asuntos'!D17/NºAsuntos!G17),'Resol  Asuntos'!D17/NºAsuntos!G17," - ")</f>
        <v>0.11827956989247312</v>
      </c>
      <c r="AO17" s="268">
        <f>IF(ISNUMBER((NºAsuntos!C17+NºAsuntos!E17)/NºAsuntos!G17),(NºAsuntos!C17+NºAsuntos!E17)/NºAsuntos!G17," - ")</f>
        <v>2.486559139784946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41</v>
      </c>
      <c r="AB18" s="374">
        <f>IF(ISNUMBER(Datos!R18),Datos!R18," - ")</f>
        <v>0</v>
      </c>
      <c r="AC18" s="374">
        <f t="shared" si="8"/>
        <v>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0.5757575757575758</v>
      </c>
      <c r="AM18" s="284">
        <f>IF(ISNUMBER(((NºAsuntos!I18/NºAsuntos!G18)*11)/factor_trimestre),((NºAsuntos!I18/NºAsuntos!G18)*11)/factor_trimestre," - ")</f>
        <v>4.3157894736842106</v>
      </c>
      <c r="AN18" s="267">
        <f>IF(ISNUMBER('Resol  Asuntos'!D18/NºAsuntos!G18),'Resol  Asuntos'!D18/NºAsuntos!G18," - ")</f>
        <v>0</v>
      </c>
      <c r="AO18" s="268">
        <f>IF(ISNUMBER((NºAsuntos!C18+NºAsuntos!E18)/NºAsuntos!G18),(NºAsuntos!C18+NºAsuntos!E18)/NºAsuntos!G18," - ")</f>
        <v>6.4736842105263159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464</v>
      </c>
      <c r="G23" s="1163">
        <f>SUBTOTAL(9,G16:G22)</f>
        <v>511</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391</v>
      </c>
      <c r="X23" s="1164">
        <f t="shared" si="14"/>
        <v>11</v>
      </c>
      <c r="Y23" s="1165">
        <f t="shared" si="14"/>
        <v>402</v>
      </c>
      <c r="Z23" s="1165">
        <f t="shared" si="14"/>
        <v>0</v>
      </c>
      <c r="AA23" s="1165">
        <f t="shared" si="14"/>
        <v>637</v>
      </c>
      <c r="AB23" s="1165">
        <f t="shared" si="14"/>
        <v>74</v>
      </c>
      <c r="AC23" s="1165">
        <f t="shared" si="14"/>
        <v>711</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0.72811918063314707</v>
      </c>
      <c r="AM23" s="1171">
        <f>IF(ISNUMBER(((NºAsuntos!I23/NºAsuntos!G23)*11)/factor_trimestre),((NºAsuntos!I23/NºAsuntos!G23)*11)/factor_trimestre," - ")</f>
        <v>3.2583120204603584</v>
      </c>
      <c r="AN23" s="1172">
        <f>IF(ISNUMBER('Resol  Asuntos'!D23/NºAsuntos!G23),'Resol  Asuntos'!D23/NºAsuntos!G23," - ")</f>
        <v>0.11253196930946291</v>
      </c>
      <c r="AO23" s="1173">
        <f>IF(ISNUMBER((NºAsuntos!C23+NºAsuntos!E23)/NºAsuntos!G23),(NºAsuntos!C23+NºAsuntos!E23)/NºAsuntos!G23," - ")</f>
        <v>2.6803069053708439</v>
      </c>
      <c r="AP23" s="1174" t="str">
        <f t="shared" si="2"/>
        <v xml:space="preserve"> - </v>
      </c>
      <c r="AQ23" s="1174">
        <f>IF(ISNUMBER((H23-W23+K23)/(F23)),(H23-W23+K23)/(F23)," - ")</f>
        <v>-0.84267241379310343</v>
      </c>
      <c r="AR23" s="1175">
        <f>IF(ISNUMBER((Datos!P23-Datos!Q23)/(Datos!R23-Datos!P23+Datos!Q23)),(Datos!P23-Datos!Q23)/(Datos!R23-Datos!P23+Datos!Q23)," - ")</f>
        <v>0.12121212121212122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471</v>
      </c>
      <c r="G31" s="1118">
        <f t="shared" si="20"/>
        <v>518</v>
      </c>
      <c r="H31" s="1117">
        <f t="shared" si="20"/>
        <v>0</v>
      </c>
      <c r="I31" s="1119">
        <f t="shared" si="20"/>
        <v>0</v>
      </c>
      <c r="J31" s="1119">
        <f t="shared" si="20"/>
        <v>0</v>
      </c>
      <c r="K31" s="1180">
        <f t="shared" si="20"/>
        <v>0</v>
      </c>
      <c r="L31" s="1119">
        <f t="shared" si="20"/>
        <v>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397</v>
      </c>
      <c r="X31" s="1118">
        <f t="shared" si="21"/>
        <v>122</v>
      </c>
      <c r="Y31" s="1125">
        <f t="shared" si="21"/>
        <v>519</v>
      </c>
      <c r="Z31" s="1125">
        <f t="shared" si="21"/>
        <v>0</v>
      </c>
      <c r="AA31" s="1125">
        <f t="shared" si="21"/>
        <v>642</v>
      </c>
      <c r="AB31" s="1125">
        <f t="shared" si="21"/>
        <v>1707</v>
      </c>
      <c r="AC31" s="1125">
        <f t="shared" si="21"/>
        <v>729</v>
      </c>
      <c r="AD31" s="1125">
        <f t="shared" si="21"/>
        <v>0</v>
      </c>
      <c r="AE31" s="1127">
        <f t="shared" si="21"/>
        <v>0</v>
      </c>
      <c r="AF31" s="1128">
        <f t="shared" si="21"/>
        <v>0</v>
      </c>
      <c r="AG31" s="1129">
        <f t="shared" si="21"/>
        <v>0</v>
      </c>
      <c r="AH31" s="1127">
        <f t="shared" si="21"/>
        <v>0</v>
      </c>
      <c r="AI31" s="1117">
        <f t="shared" si="21"/>
        <v>111</v>
      </c>
      <c r="AJ31" s="1117">
        <f t="shared" si="21"/>
        <v>0</v>
      </c>
      <c r="AK31" s="1127">
        <f t="shared" si="21"/>
        <v>0</v>
      </c>
      <c r="AL31" s="1183">
        <f>IF(ISNUMBER(NºAsuntos!G31/NºAsuntos!E31),NºAsuntos!G31/NºAsuntos!E31," - ")</f>
        <v>0.76853932584269657</v>
      </c>
      <c r="AM31" s="1184">
        <f>IF(ISNUMBER(((NºAsuntos!I31/NºAsuntos!G31)*11)/factor_trimestre),((NºAsuntos!I31/NºAsuntos!G31)*11)/factor_trimestre," - ")</f>
        <v>3.9473684210526314</v>
      </c>
      <c r="AN31" s="1184">
        <f>IF(ISNUMBER('Resol  Asuntos'!D31/NºAsuntos!G31),'Resol  Asuntos'!D31/NºAsuntos!G31," - ")</f>
        <v>0.16228070175438597</v>
      </c>
      <c r="AO31" s="1185">
        <f>IF(ISNUMBER((NºAsuntos!C31+NºAsuntos!E31)/NºAsuntos!G31),(NºAsuntos!C31+NºAsuntos!E31)/NºAsuntos!G31," - ")</f>
        <v>2.9897660818713452</v>
      </c>
      <c r="AP31" s="1186" t="str">
        <f t="shared" si="2"/>
        <v xml:space="preserve"> - </v>
      </c>
      <c r="AQ31" s="1187">
        <f>IF(OR(ISNUMBER(FIND("01",Criterios!A8,1)),ISNUMBER(FIND("02",Criterios!A8,1)),ISNUMBER(FIND("03",Criterios!A8,1)),ISNUMBER(FIND("04",Criterios!A8,1))),(I31-W31+K31)/(F31-K31),(H31-W31+K31)/(F31-K31))</f>
        <v>-0.8428874734607219</v>
      </c>
      <c r="AR31" s="1188">
        <f>IF(ISNUMBER((Datos!P31-Datos!Q31)/(Datos!R31-Datos!P31+Datos!Q31)),(Datos!P31-Datos!Q31)/(Datos!R31-Datos!P31+Datos!Q31)," - ")</f>
        <v>-1.6705069124423964E-2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237.82178201333872</v>
      </c>
      <c r="G33" s="277">
        <f>IF(ISNUMBER(STDEV(G8:G30)),STDEV(G8:G30),"-")</f>
        <v>221.07012462112559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183.31926352937484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30.013092381254456</v>
      </c>
      <c r="AJ33" s="276">
        <f t="shared" si="25"/>
        <v>0</v>
      </c>
      <c r="AK33" s="278">
        <f t="shared" si="25"/>
        <v>0</v>
      </c>
      <c r="AL33" s="273">
        <f t="shared" si="25"/>
        <v>0.32396489953473256</v>
      </c>
      <c r="AM33" s="274">
        <f t="shared" si="25"/>
        <v>1.2520381103871039</v>
      </c>
      <c r="AN33" s="274">
        <f t="shared" si="25"/>
        <v>0.17066250737500877</v>
      </c>
      <c r="AO33" s="275">
        <f t="shared" si="25"/>
        <v>1.6281459286726829</v>
      </c>
      <c r="AP33" s="317" t="str">
        <f t="shared" si="25"/>
        <v>-</v>
      </c>
      <c r="AQ33" s="318">
        <f t="shared" si="25"/>
        <v>1.0232148619386599E-2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vJs3Ug7IJlCwtM2KgHWygYJWUs3+vWtPM0BqTlWIHiSWY/GMeuHjBX4S8470ENC1sZRiYNNXMLrndo2XogR/w==" saltValue="gKJJlDDnmD0lrsB14g9B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MEDINA DEL CAMPO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1.3333333333333333</v>
      </c>
      <c r="E10" s="393">
        <f>IF(ISNUMBER((Datos!J10-Datos!T10)/Datos!T10),(Datos!J10-Datos!T10)/Datos!T10," - ")</f>
        <v>-0.33333333333333331</v>
      </c>
      <c r="F10" s="393">
        <f>IF(ISNUMBER((Datos!K10-Datos!U10)/Datos!U10),(Datos!K10-Datos!U10)/Datos!U10," - ")</f>
        <v>2</v>
      </c>
      <c r="G10" s="394">
        <f>IF(ISNUMBER((Datos!L10-Datos!V10)/Datos!V10),(Datos!L10-Datos!V10)/Datos!V10," - ")</f>
        <v>-0.2857142857142857</v>
      </c>
      <c r="H10" s="244" t="str">
        <f>IF(ISNUMBER((Datos!M10-Datos!W10)/Datos!W10),(Datos!M10-Datos!W10)/Datos!W10," - ")</f>
        <v xml:space="preserve"> - </v>
      </c>
      <c r="I10" s="395">
        <f>IF(ISNUMBER((Tasas!C10-Datos!BE10)/Datos!BE10),(Tasas!C10-Datos!BE10)/Datos!BE10," - ")</f>
        <v>-0.76190476190476186</v>
      </c>
      <c r="J10" s="394" t="str">
        <f>IF(ISNUMBER((Tasas!D10-Datos!BF10)/Datos!BF10),(Tasas!D10-Datos!BF10)/Datos!BF10," - ")</f>
        <v xml:space="preserve"> - </v>
      </c>
      <c r="K10" s="396">
        <f>IF(ISNUMBER((Tasas!E10-Datos!BG10)/Datos!BG10),(Tasas!E10-Datos!BG10)/Datos!BG10," - ")</f>
        <v>-0.59259259259259267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-0.4336283185840708</v>
      </c>
      <c r="I12" s="395">
        <f>IF(ISNUMBER((Tasas!C12-Datos!BE12)/Datos!BE12),(Tasas!C12-Datos!BE12)/Datos!BE12," - ")</f>
        <v>0.40013183915622952</v>
      </c>
      <c r="J12" s="394">
        <f>IF(ISNUMBER((Tasas!D12-Datos!BF12)/Datos!BF12),(Tasas!D12-Datos!BF12)/Datos!BF12," - ")</f>
        <v>-0.38584566173530588</v>
      </c>
      <c r="K12" s="396">
        <f>IF(ISNUMBER((Tasas!E12-Datos!BG12)/Datos!BG12),(Tasas!E12-Datos!BG12)/Datos!BG12," - ")</f>
        <v>0.2452442971031652</v>
      </c>
      <c r="M12" t="e">
        <f>IF(Monitorios="SI",Datos!CE12,0)</f>
        <v>#REF!</v>
      </c>
      <c r="N12" t="e">
        <f>IF(Monitorios="SI",Datos!CF12,0)</f>
        <v>#REF!</v>
      </c>
      <c r="O12" t="e">
        <f>IF(Monitorios="SI",Datos!CG12,0)</f>
        <v>#REF!</v>
      </c>
      <c r="P12" t="e">
        <f>IF(Monitorios="SI",Datos!CH12,0)</f>
        <v>#REF!</v>
      </c>
      <c r="Q12">
        <f>IF(J_V="SI",0,Datos!AG12)</f>
        <v>50</v>
      </c>
      <c r="R12">
        <f>IF(J_V="SI",0,Datos!AH12)</f>
        <v>27</v>
      </c>
      <c r="S12">
        <f>IF(J_V="SI",0,Datos!AI12)</f>
        <v>25</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-0.40707964601769914</v>
      </c>
      <c r="I14" s="402">
        <f>IF(ISNUMBER((Tasas!C14-Datos!BE14)/Datos!BE14),(Tasas!C14-Datos!BE14)/Datos!BE14," - ")</f>
        <v>0.37313041645062583</v>
      </c>
      <c r="J14" s="400">
        <f>IF(ISNUMBER((Tasas!D14-Datos!BF14)/Datos!BF14),(Tasas!D14-Datos!BF14)/Datos!BF14," - ")</f>
        <v>-0.36647457058132382</v>
      </c>
      <c r="K14" s="403">
        <f>IF(ISNUMBER((Tasas!E14-Datos!BG14)/Datos!BG14),(Tasas!E14-Datos!BG14)/Datos!BG14," - ")</f>
        <v>0.22876374668183552</v>
      </c>
      <c r="M14" t="e">
        <f>IF(Monitorios="SI",Datos!CE14,0)</f>
        <v>#REF!</v>
      </c>
      <c r="N14" t="e">
        <f>IF(Monitorios="SI",Datos!CF14,0)</f>
        <v>#REF!</v>
      </c>
      <c r="O14" t="e">
        <f>IF(Monitorios="SI",Datos!CG14,0)</f>
        <v>#REF!</v>
      </c>
      <c r="P14" t="e">
        <f>IF(Monitorios="SI",Datos!CH14,0)</f>
        <v>#REF!</v>
      </c>
      <c r="Q14">
        <f>IF(J_V="SI",0,Datos!AG14)</f>
        <v>50</v>
      </c>
      <c r="R14">
        <f>IF(J_V="SI",0,Datos!AH14)</f>
        <v>27</v>
      </c>
      <c r="S14">
        <f>IF(J_V="SI",0,Datos!AI14)</f>
        <v>25</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0.52536231884057971</v>
      </c>
      <c r="E17" s="393">
        <f>IF(ISNUMBER(
   IF(D_I="SI",(Datos!J17-Datos!T17)/Datos!T17,(Datos!J17+Datos!AD17-(Datos!T17+Datos!AL17))/(Datos!T17+Datos!AL17))
     ),IF(D_I="SI",(Datos!J17-Datos!T17)/Datos!T17,(Datos!J17+Datos!AD17-(Datos!T17+Datos!AL17))/(Datos!T17+Datos!AL17))," - ")</f>
        <v>0.18032786885245902</v>
      </c>
      <c r="F17" s="393">
        <f>IF(ISNUMBER(
   IF(D_I="SI",(Datos!K17-Datos!U17)/Datos!U17,(Datos!K17+Datos!AE17-(Datos!U17+Datos!AM17))/(Datos!U17+Datos!AM17))
     ),IF(D_I="SI",(Datos!K17-Datos!U17)/Datos!U17,(Datos!K17+Datos!AE17-(Datos!U17+Datos!AM17))/(Datos!U17+Datos!AM17))," - ")</f>
        <v>-7.0000000000000007E-2</v>
      </c>
      <c r="G17" s="394">
        <f>IF(ISNUMBER(
   IF(D_I="SI",(Datos!L17-Datos!V17)/Datos!V17,(Datos!L17+Datos!AF17-(Datos!V17+Datos!AN17))/(Datos!V17+Datos!AN17))
     ),IF(D_I="SI",(Datos!L17-Datos!V17)/Datos!V17,(Datos!L17+Datos!AF17-(Datos!V17+Datos!AN17))/(Datos!V17+Datos!AN17))," - ")</f>
        <v>0.96052631578947367</v>
      </c>
      <c r="H17" s="244">
        <f>IF(ISNUMBER((Datos!M17-Datos!W17)/Datos!W17),(Datos!M17-Datos!W17)/Datos!W17," - ")</f>
        <v>-0.26666666666666666</v>
      </c>
      <c r="I17" s="395">
        <f>IF(ISNUMBER((Tasas!C17-Datos!BE17)/Datos!BE17),(Tasas!C17-Datos!BE17)/Datos!BE17," - ")</f>
        <v>1.1080928126768532</v>
      </c>
      <c r="J17" s="394">
        <f>IF(ISNUMBER((Tasas!D17-Datos!BF17)/Datos!BF17),(Tasas!D17-Datos!BF17)/Datos!BF17," - ")</f>
        <v>-0.21146953405017915</v>
      </c>
      <c r="K17" s="396">
        <f>IF(ISNUMBER((Tasas!E17-Datos!BG17)/Datos!BG17),(Tasas!E17-Datos!BG17)/Datos!BG17," - ")</f>
        <v>0.4148273910582907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1.5714285714285714</v>
      </c>
      <c r="E18" s="393">
        <f>IF(ISNUMBER(
   IF(D_I="SI",(Datos!J18-Datos!T18)/Datos!T18,(Datos!J18+Datos!AD18-(Datos!T18+Datos!AL18))/(Datos!T18+Datos!AL18))
     ),IF(D_I="SI",(Datos!J18-Datos!T18)/Datos!T18,(Datos!J18+Datos!AD18-(Datos!T18+Datos!AL18))/(Datos!T18+Datos!AL18))," - ")</f>
        <v>-0.15384615384615385</v>
      </c>
      <c r="F18" s="393">
        <f>IF(ISNUMBER(
   IF(D_I="SI",(Datos!K18-Datos!U18)/Datos!U18,(Datos!K18+Datos!AE18-(Datos!U18+Datos!AM18))/(Datos!U18+Datos!AM18))
     ),IF(D_I="SI",(Datos!K18-Datos!U18)/Datos!U18,(Datos!K18+Datos!AE18-(Datos!U18+Datos!AM18))/(Datos!U18+Datos!AM18))," - ")</f>
        <v>-0.34482758620689657</v>
      </c>
      <c r="G18" s="394">
        <f>IF(ISNUMBER(
   IF(D_I="SI",(Datos!L18-Datos!V18)/Datos!V18,(Datos!L18+Datos!AF18-(Datos!V18+Datos!AN18))/(Datos!V18+Datos!AN18))
     ),IF(D_I="SI",(Datos!L18-Datos!V18)/Datos!V18,(Datos!L18+Datos!AF18-(Datos!V18+Datos!AN18))/(Datos!V18+Datos!AN18))," - ")</f>
        <v>-8.8888888888888892E-2</v>
      </c>
      <c r="H18" s="244" t="str">
        <f>IF(ISNUMBER((Datos!M18-Datos!W18)/Datos!W18),(Datos!M18-Datos!W18)/Datos!W18," - ")</f>
        <v xml:space="preserve"> - </v>
      </c>
      <c r="I18" s="395">
        <f>IF(ISNUMBER((Tasas!C18-Datos!BE18)/Datos!BE18),(Tasas!C18-Datos!BE18)/Datos!BE18," - ")</f>
        <v>0.39064327485380118</v>
      </c>
      <c r="J18" s="394" t="str">
        <f>IF(ISNUMBER((Tasas!D18-Datos!BF18)/Datos!BF18),(Tasas!D18-Datos!BF18)/Datos!BF18," - ")</f>
        <v xml:space="preserve"> - </v>
      </c>
      <c r="K18" s="396">
        <f>IF(ISNUMBER((Tasas!E18-Datos!BG18)/Datos!BG18),(Tasas!E18-Datos!BG18)/Datos!BG18," - ")</f>
        <v>1.5369843527738263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0.64308681672025725</v>
      </c>
      <c r="E23" s="399">
        <f>IF(ISNUMBER(
   IF(D_I="SI",(Datos!J23-Datos!T23)/Datos!T23,(Datos!J23+Datos!AD23-(Datos!T23+Datos!AL23))/(Datos!T23+Datos!AL23))
     ),IF(D_I="SI",(Datos!J23-Datos!T23)/Datos!T23,(Datos!J23+Datos!AD23-(Datos!T23+Datos!AL23))/(Datos!T23+Datos!AL23))," - ")</f>
        <v>0.15236051502145923</v>
      </c>
      <c r="F23" s="399">
        <f>IF(ISNUMBER(
   IF(D_I="SI",(Datos!K23-Datos!U23)/Datos!U23,(Datos!K23+Datos!AE23-(Datos!U23+Datos!AM23))/(Datos!U23+Datos!AM23))
     ),IF(D_I="SI",(Datos!K23-Datos!U23)/Datos!U23,(Datos!K23+Datos!AE23-(Datos!U23+Datos!AM23))/(Datos!U23+Datos!AM23))," - ")</f>
        <v>-8.8578088578088576E-2</v>
      </c>
      <c r="G23" s="400">
        <f>IF(ISNUMBER(
   IF(D_I="SI",(Datos!L23-Datos!V23)/Datos!V23,(Datos!L23+Datos!AF23-(Datos!V23+Datos!AN23))/(Datos!V23+Datos!AN23))
     ),IF(D_I="SI",(Datos!L23-Datos!V23)/Datos!V23,(Datos!L23+Datos!AF23-(Datos!V23+Datos!AN23))/(Datos!V23+Datos!AN23))," - ")</f>
        <v>0.82521489971346706</v>
      </c>
      <c r="H23" s="401">
        <f>IF(ISNUMBER((Datos!M23-Datos!W23)/Datos!W23),(Datos!M23-Datos!W23)/Datos!W23," - ")</f>
        <v>-0.26666666666666666</v>
      </c>
      <c r="I23" s="402">
        <f>IF(ISNUMBER((Tasas!C23-Datos!BE23)/Datos!BE23),(Tasas!C23-Datos!BE23)/Datos!BE23," - ")</f>
        <v>1.0026015140078706</v>
      </c>
      <c r="J23" s="400">
        <f>IF(ISNUMBER((Tasas!D23-Datos!BF23)/Datos!BF23),(Tasas!D23-Datos!BF23)/Datos!BF23," - ")</f>
        <v>-0.19539641943734026</v>
      </c>
      <c r="K23" s="403">
        <f>IF(ISNUMBER((Tasas!E23-Datos!BG23)/Datos!BG23),(Tasas!E23-Datos!BG23)/Datos!BG23," - ")</f>
        <v>0.47986056937463578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0.29194630872483224</v>
      </c>
      <c r="E31" s="409">
        <f>IF(ISNUMBER(
   IF(J_V="SI",(Datos!J31-Datos!T31)/Datos!T31,(Datos!J31+Datos!Z31-(Datos!T31+Datos!AH31))/(Datos!T31+Datos!AH31))
     ),IF(J_V="SI",(Datos!J31-Datos!T31)/Datos!T31,(Datos!J31+Datos!Z31-(Datos!T31+Datos!AH31))/(Datos!T31+Datos!AH31))," - ")</f>
        <v>8.6691086691086688E-2</v>
      </c>
      <c r="F31" s="409">
        <f>IF(ISNUMBER(
   IF(J_V="SI",(Datos!K31-Datos!U31)/Datos!U31,(Datos!K31+Datos!AA31-(Datos!U31+Datos!AI31))/(Datos!U31+Datos!AI31))
     ),IF(J_V="SI",(Datos!K31-Datos!U31)/Datos!U31,(Datos!K31+Datos!AA31-(Datos!U31+Datos!AI31))/(Datos!U31+Datos!AI31))," - ")</f>
        <v>-0.10821382007822686</v>
      </c>
      <c r="G31" s="410">
        <f>IF(ISNUMBER(
   IF(J_V="SI",(Datos!L31-Datos!V31)/Datos!V31,(Datos!L31+Datos!AB31-(Datos!V31+Datos!AJ31))/(Datos!V31+Datos!AJ31))
     ),IF(J_V="SI",(Datos!L31-Datos!V31)/Datos!V31,(Datos!L31+Datos!AB31-(Datos!V31+Datos!AJ31))/(Datos!V31+Datos!AJ31))," - ")</f>
        <v>0.42405063291139239</v>
      </c>
      <c r="H31" s="411">
        <f>IF(ISNUMBER((Datos!M31-Datos!W31)/Datos!W31),(Datos!M31-Datos!W31)/Datos!W31," - ")</f>
        <v>-0.3583815028901734</v>
      </c>
      <c r="I31" s="408">
        <f>IF(ISNUMBER((Tasas!C31-Datos!BE31)/Datos!BE31),(Tasas!C31-Datos!BE31)/Datos!BE31," - ")</f>
        <v>0.59685209860093269</v>
      </c>
      <c r="J31" s="409">
        <f>IF(ISNUMBER((Tasas!D31-Datos!BF31)/Datos!BF31),(Tasas!D31-Datos!BF31)/Datos!BF31," - ")</f>
        <v>-0.31610275689223055</v>
      </c>
      <c r="K31" s="410">
        <f>IF(ISNUMBER((Tasas!E31-Datos!BG31)/Datos!BG31),(Tasas!E31-Datos!BG31)/Datos!BG31," - ")</f>
        <v>0.33867518084957499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0.51282541149498329</v>
      </c>
      <c r="E33" s="303">
        <f t="shared" si="1"/>
        <v>0.24802200287924492</v>
      </c>
      <c r="F33" s="303">
        <f t="shared" si="1"/>
        <v>1.0911314461632591</v>
      </c>
      <c r="G33" s="304">
        <f t="shared" si="1"/>
        <v>0.63121488127887837</v>
      </c>
      <c r="H33" s="310">
        <f t="shared" si="1"/>
        <v>8.9390914889546036E-2</v>
      </c>
      <c r="I33" s="302">
        <f t="shared" si="1"/>
        <v>0.66531789913966433</v>
      </c>
      <c r="J33" s="303">
        <f t="shared" si="1"/>
        <v>0.10025211017440283</v>
      </c>
      <c r="K33" s="304">
        <f t="shared" si="1"/>
        <v>0.68360562626443977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lt2B9Ms0tVcncZZiQLrX+Z8U4uU7gZx+T6fefHEE0GYvzY50r6dMxkgCnzDAdyRwOlj3xcqoy4aw1c8GHQ82Q==" saltValue="cCdSCClKn6l6Rz4xyHN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